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codeName="ThisWorkbook" defaultThemeVersion="124226"/>
  <mc:AlternateContent xmlns:mc="http://schemas.openxmlformats.org/markup-compatibility/2006">
    <mc:Choice Requires="x15">
      <x15ac:absPath xmlns:x15ac="http://schemas.microsoft.com/office/spreadsheetml/2010/11/ac" url="S:\Employee Folders\DK\Budget\Budgets\FY21\CLS\"/>
    </mc:Choice>
  </mc:AlternateContent>
  <xr:revisionPtr revIDLastSave="0" documentId="13_ncr:1_{9EE3470B-531D-4011-8F9E-402F858222FC}" xr6:coauthVersionLast="45" xr6:coauthVersionMax="45" xr10:uidLastSave="{00000000-0000-0000-0000-000000000000}"/>
  <bookViews>
    <workbookView xWindow="-108" yWindow="-108" windowWidth="23256" windowHeight="12576" tabRatio="601" xr2:uid="{00000000-000D-0000-FFFF-FFFF00000000}"/>
  </bookViews>
  <sheets>
    <sheet name="Budget" sheetId="10" r:id="rId1"/>
    <sheet name="Rev Input" sheetId="8" r:id="rId2"/>
    <sheet name="Payroll" sheetId="1" r:id="rId3"/>
    <sheet name="Expense Input" sheetId="6" r:id="rId4"/>
    <sheet name="CF 20" sheetId="33" state="hidden" r:id="rId5"/>
    <sheet name="PR FY20" sheetId="34" state="hidden" r:id="rId6"/>
    <sheet name="Restart Grant" sheetId="35" state="hidden" r:id="rId7"/>
  </sheets>
  <externalReferences>
    <externalReference r:id="rId8"/>
    <externalReference r:id="rId9"/>
    <externalReference r:id="rId10"/>
    <externalReference r:id="rId11"/>
    <externalReference r:id="rId12"/>
    <externalReference r:id="rId13"/>
    <externalReference r:id="rId14"/>
    <externalReference r:id="rId15"/>
  </externalReferences>
  <definedNames>
    <definedName name="__grp1">[1]SUMMARY!#REF!</definedName>
    <definedName name="_1.__2009_10_FEFP_State_and_Local_Funding">#REF!</definedName>
    <definedName name="_1.__2010_11_FEFP_State_and_Local_Funding">#REF!</definedName>
    <definedName name="_1_0g">[2]SUMMARY!#REF!</definedName>
    <definedName name="_101_Basic_K_3">#REF!</definedName>
    <definedName name="_102_Basic_4_8">#REF!</definedName>
    <definedName name="_103_Basic_9_12">#REF!</definedName>
    <definedName name="_111_Basic_K_3_with_ESE_Services">#REF!</definedName>
    <definedName name="_112_Basic_4_8_with_ESE_Services">#REF!</definedName>
    <definedName name="_113_Basic_9_12_with_ESE_Services">#REF!</definedName>
    <definedName name="_130_ESOL__Grade_Level_4_8">#REF!</definedName>
    <definedName name="_130_ESOL__Grade_Level_9_12">#REF!</definedName>
    <definedName name="_130_ESOL__Grade_Level_PK_3">#REF!</definedName>
    <definedName name="_2.__ESE_Guaranteed_Allocation">#REF!</definedName>
    <definedName name="_2010_11_Base_Funding_WFTE_x_BSA_x_DCD">#REF!</definedName>
    <definedName name="_254_ESE_Level_4__Grade_Level_4_8">#REF!</definedName>
    <definedName name="_254_ESE_Level_4__Grade_Level_9_12">#REF!</definedName>
    <definedName name="_254_ESE_Level_4__Grade_Level_PK_3">#REF!</definedName>
    <definedName name="_255_ESE_Level_5__Grade_Level_4_8">#REF!</definedName>
    <definedName name="_255_ESE_Level_5__Grade_Level_9_12">#REF!</definedName>
    <definedName name="_255_ESE_Level_5__Grade_Level_PK_3">#REF!</definedName>
    <definedName name="_2g">[2]SUMMARY!#REF!</definedName>
    <definedName name="_3.__Supplemental_Academic_Instruction">#REF!</definedName>
    <definedName name="_300_Career_Education__Grades_9_12">#REF!</definedName>
    <definedName name="_4_8">#REF!</definedName>
    <definedName name="_9_12">#REF!</definedName>
    <definedName name="_Add_On_FTE">#REF!</definedName>
    <definedName name="_xlnm._FilterDatabase" localSheetId="0" hidden="1">Budget!$I$1:$I$311</definedName>
    <definedName name="_xlnm._FilterDatabase" localSheetId="3" hidden="1">'Expense Input'!$P$1:$P$168</definedName>
    <definedName name="_xlnm._FilterDatabase" localSheetId="2" hidden="1">Payroll!$O$1:$O$112</definedName>
    <definedName name="_xlnm._FilterDatabase" localSheetId="1" hidden="1">'Rev Input'!$M$1:$M$194</definedName>
    <definedName name="_grp1">[3]SUMMARY!#REF!</definedName>
    <definedName name="Actual_Additional_.25_Discretionary_Revenue">'[4] Detail 2016-17 Second FEFP'!#REF!</definedName>
    <definedName name="Add_On_FTE">#REF!</definedName>
    <definedName name="Allocation_factors">#REF!</definedName>
    <definedName name="ARRA_State_Fiscal_Stabilization">'[4] Detail 2016-17 Second FEFP'!#REF!</definedName>
    <definedName name="Base_Student_Allocation">#REF!</definedName>
    <definedName name="Based_on_the_Second_Calculation_of_the_FEFP_2010_11">#REF!</definedName>
    <definedName name="CAP" localSheetId="0" hidden="1">{#N/A,#N/A,FALSE,"Summation";#N/A,#N/A,FALSE,"BSA";#N/A,#N/A,FALSE,"Detail1";#N/A,#N/A,FALSE,"Detail2";#N/A,#N/A,FALSE,"Detail3";#N/A,#N/A,FALSE,"WFTE_Summary";#N/A,#N/A,FALSE,"Funded_WFTE";#N/A,#N/A,FALSE,"PYADJ96"}</definedName>
    <definedName name="CAP" localSheetId="3" hidden="1">{#N/A,#N/A,FALSE,"Summation";#N/A,#N/A,FALSE,"BSA";#N/A,#N/A,FALSE,"Detail1";#N/A,#N/A,FALSE,"Detail2";#N/A,#N/A,FALSE,"Detail3";#N/A,#N/A,FALSE,"WFTE_Summary";#N/A,#N/A,FALSE,"Funded_WFTE";#N/A,#N/A,FALSE,"PYADJ96"}</definedName>
    <definedName name="CAP" hidden="1">{#N/A,#N/A,FALSE,"Summation";#N/A,#N/A,FALSE,"BSA";#N/A,#N/A,FALSE,"Detail1";#N/A,#N/A,FALSE,"Detail2";#N/A,#N/A,FALSE,"Detail3";#N/A,#N/A,FALSE,"WFTE_Summary";#N/A,#N/A,FALSE,"Funded_WFTE";#N/A,#N/A,FALSE,"PYADJ96"}</definedName>
    <definedName name="d_grp1">[2]SUMMARY!#REF!</definedName>
    <definedName name="DCD">#REF!</definedName>
    <definedName name="Discretionary_Tax_Compression_0.25_mills">'[4] Detail 2016-17 Second FEFP'!#REF!</definedName>
    <definedName name="District_Cost_Differential">#REF!</definedName>
    <definedName name="District_SAI_Allocation">#REF!</definedName>
    <definedName name="divided_by_district_FTE">#REF!</definedName>
    <definedName name="EnrNew">'Rev Input'!$J$51</definedName>
    <definedName name="EnrOld">'Rev Input'!$J$50</definedName>
    <definedName name="Equal_Percent_Adjustment">'[4] Detail 2016-17 Second FEFP'!#REF!</definedName>
    <definedName name="ExpInf">#REF!</definedName>
    <definedName name="FTE">#REF!</definedName>
    <definedName name="Grade_Level">#REF!</definedName>
    <definedName name="GSFA" localSheetId="0">[5]PBEDL!#REF!</definedName>
    <definedName name="GSFA" localSheetId="3">[5]PBEDL!#REF!</definedName>
    <definedName name="GSFA">[6]Data!#REF!</definedName>
    <definedName name="Guarantee_Per_Student">#REF!</definedName>
    <definedName name="HTML_CodePage" hidden="1">1252</definedName>
    <definedName name="HTML_Control" localSheetId="0" hidden="1">{"'AssumptionsHTML'!$B$9:$E$357","'SummationHTML'!$A$4:$J$93","'Difference'!$A$11:$K$101","'DifferenceFTE'!$A$11:$K$101","'Detail1'!$A$11:$I$97","'Detail2'!$A$11:$J$97","'Detail3'!$A$11:$J$97","'Categorical1'!$A$11:$L$97"}</definedName>
    <definedName name="HTML_Control" localSheetId="3" hidden="1">{"'AssumptionsHTML'!$B$9:$E$357","'SummationHTML'!$A$4:$J$93","'Difference'!$A$11:$K$101","'DifferenceFTE'!$A$11:$K$101","'Detail1'!$A$11:$I$97","'Detail2'!$A$11:$J$97","'Detail3'!$A$11:$J$97","'Categorical1'!$A$11:$L$97"}</definedName>
    <definedName name="HTML_Control" hidden="1">{"'AssumptionsHTML'!$B$9:$E$357","'SummationHTML'!$A$4:$J$93","'Difference'!$A$11:$K$101","'DifferenceFTE'!$A$11:$K$101","'Detail1'!$A$11:$I$97","'Detail2'!$A$11:$J$97","'Detail3'!$A$11:$J$97","'Categorical1'!$A$11:$L$97"}</definedName>
    <definedName name="HTML_Description" hidden="1">""</definedName>
    <definedName name="HTML_Email" hidden="1">""</definedName>
    <definedName name="HTML_Header" hidden="1">""</definedName>
    <definedName name="HTML_LastUpdate" hidden="1">"9/4/97"</definedName>
    <definedName name="HTML_LineAfter" hidden="1">FALSE</definedName>
    <definedName name="HTML_LineBefore" hidden="1">FALSE</definedName>
    <definedName name="HTML_Name" hidden="1">"David Montford"</definedName>
    <definedName name="HTML_OBDlg2" hidden="1">TRUE</definedName>
    <definedName name="HTML_OBDlg4" hidden="1">TRUE</definedName>
    <definedName name="HTML_OS" hidden="1">0</definedName>
    <definedName name="HTML_PathFile" hidden="1">"H:\XLFILES\test.htm"</definedName>
    <definedName name="HTML_Title" hidden="1">""</definedName>
    <definedName name="Inf">'Rev Input'!$J$52</definedName>
    <definedName name="InfPayroll">'[7]Payroll Input'!$D$260</definedName>
    <definedName name="Matrix_Level">#REF!</definedName>
    <definedName name="Mgr" localSheetId="0">[5]PBEDL!#REF!</definedName>
    <definedName name="Mgr" localSheetId="3">[5]PBEDL!#REF!</definedName>
    <definedName name="Mgr">[6]Data!#REF!</definedName>
    <definedName name="Number_of_FTE">#REF!</definedName>
    <definedName name="Per_Student">#REF!</definedName>
    <definedName name="PK___3">#REF!</definedName>
    <definedName name="PRACTICE" localSheetId="0" hidden="1">{#N/A,#N/A,FALSE,"Summation";#N/A,#N/A,FALSE,"BSA";#N/A,#N/A,FALSE,"Detail1";#N/A,#N/A,FALSE,"Detail2";#N/A,#N/A,FALSE,"Detail3";#N/A,#N/A,FALSE,"WFTE_Summary";#N/A,#N/A,FALSE,"Funded_WFTE";#N/A,#N/A,FALSE,"PYADJ96"}</definedName>
    <definedName name="PRACTICE" localSheetId="3" hidden="1">{#N/A,#N/A,FALSE,"Summation";#N/A,#N/A,FALSE,"BSA";#N/A,#N/A,FALSE,"Detail1";#N/A,#N/A,FALSE,"Detail2";#N/A,#N/A,FALSE,"Detail3";#N/A,#N/A,FALSE,"WFTE_Summary";#N/A,#N/A,FALSE,"Funded_WFTE";#N/A,#N/A,FALSE,"PYADJ96"}</definedName>
    <definedName name="PRACTICE" hidden="1">{#N/A,#N/A,FALSE,"Summation";#N/A,#N/A,FALSE,"BSA";#N/A,#N/A,FALSE,"Detail1";#N/A,#N/A,FALSE,"Detail2";#N/A,#N/A,FALSE,"Detail3";#N/A,#N/A,FALSE,"WFTE_Summary";#N/A,#N/A,FALSE,"Funded_WFTE";#N/A,#N/A,FALSE,"PYADJ96"}</definedName>
    <definedName name="PRACTOCE" localSheetId="0" hidden="1">{#N/A,#N/A,FALSE,"Summation";#N/A,#N/A,FALSE,"BSA";#N/A,#N/A,FALSE,"Detail1";#N/A,#N/A,FALSE,"Detail2";#N/A,#N/A,FALSE,"Detail3";#N/A,#N/A,FALSE,"WFTE_Summary";#N/A,#N/A,FALSE,"Funded_WFTE";#N/A,#N/A,FALSE,"PYADJ96"}</definedName>
    <definedName name="PRACTOCE" localSheetId="3" hidden="1">{#N/A,#N/A,FALSE,"Summation";#N/A,#N/A,FALSE,"BSA";#N/A,#N/A,FALSE,"Detail1";#N/A,#N/A,FALSE,"Detail2";#N/A,#N/A,FALSE,"Detail3";#N/A,#N/A,FALSE,"WFTE_Summary";#N/A,#N/A,FALSE,"Funded_WFTE";#N/A,#N/A,FALSE,"PYADJ96"}</definedName>
    <definedName name="PRACTOCE" hidden="1">{#N/A,#N/A,FALSE,"Summation";#N/A,#N/A,FALSE,"BSA";#N/A,#N/A,FALSE,"Detail1";#N/A,#N/A,FALSE,"Detail2";#N/A,#N/A,FALSE,"Detail3";#N/A,#N/A,FALSE,"WFTE_Summary";#N/A,#N/A,FALSE,"Funded_WFTE";#N/A,#N/A,FALSE,"PYADJ96"}</definedName>
    <definedName name="PRInf">'Rev Input'!$J$53</definedName>
    <definedName name="print">'[8]Forecast WS'!$A$6:$R$142</definedName>
    <definedName name="_xlnm.Print_Titles" localSheetId="3">'Expense Input'!$1:$7</definedName>
    <definedName name="_xlnm.Print_Titles" localSheetId="2">Payroll!$11:$13</definedName>
    <definedName name="Program">#REF!</definedName>
    <definedName name="Program______________________________Cost_Factor">#REF!</definedName>
    <definedName name="Proratioin_to_Veto">'[4] Detail 2016-17 Second FEFP'!#REF!</definedName>
    <definedName name="Proration_to_the_Appropriation">'[4] Detail 2016-17 Second FEFP'!#REF!</definedName>
    <definedName name="Revenue_Estimate_Worksheet_for___________Charter_School">#REF!</definedName>
    <definedName name="RevInf">#REF!</definedName>
    <definedName name="School_District">#REF!</definedName>
    <definedName name="Science_Lab_Materials_Allocation">'[4] Detail 2016-17 Second FEFP'!#REF!</definedName>
    <definedName name="Total">#REF!</definedName>
    <definedName name="Total_Class_Size_Reduction_Funds">#REF!</definedName>
    <definedName name="Total_from_ESE_Guarantee">#REF!</definedName>
    <definedName name="Total_FTE_with_ESE_Services">#REF!</definedName>
    <definedName name="Totals">#REF!</definedName>
    <definedName name="Weighted_FTE____________b__x__c">#REF!</definedName>
    <definedName name="Weighted_FTE__From_Section_1">#REF!</definedName>
    <definedName name="wrn.Base._.Data._.Comparison." localSheetId="0" hidden="1">{#N/A,#N/A,FALSE,"Summation";#N/A,#N/A,FALSE,"BSA";#N/A,#N/A,FALSE,"Detail1";#N/A,#N/A,FALSE,"Detail2";#N/A,#N/A,FALSE,"Detail3";#N/A,#N/A,FALSE,"WFTE_Summary";#N/A,#N/A,FALSE,"Funded_WFTE";#N/A,#N/A,FALSE,"PYADJ96"}</definedName>
    <definedName name="wrn.Base._.Data._.Comparison." localSheetId="3" hidden="1">{#N/A,#N/A,FALSE,"Summation";#N/A,#N/A,FALSE,"BSA";#N/A,#N/A,FALSE,"Detail1";#N/A,#N/A,FALSE,"Detail2";#N/A,#N/A,FALSE,"Detail3";#N/A,#N/A,FALSE,"WFTE_Summary";#N/A,#N/A,FALSE,"Funded_WFTE";#N/A,#N/A,FALSE,"PYADJ96"}</definedName>
    <definedName name="wrn.Base._.Data._.Comparison." hidden="1">{#N/A,#N/A,FALSE,"Summation";#N/A,#N/A,FALSE,"BSA";#N/A,#N/A,FALSE,"Detail1";#N/A,#N/A,FALSE,"Detail2";#N/A,#N/A,FALSE,"Detail3";#N/A,#N/A,FALSE,"WFTE_Summary";#N/A,#N/A,FALSE,"Funded_WFTE";#N/A,#N/A,FALSE,"PYADJ96"}</definedName>
    <definedName name="wrn.SecondCalc9798." localSheetId="0" hidden="1">{#N/A,#N/A,FALSE,"Cover";#N/A,#N/A,FALSE,"Contents";#N/A,#N/A,FALSE,"BSA";#N/A,#N/A,FALSE,"Detail1";#N/A,#N/A,FALSE,"Detail2";#N/A,#N/A,FALSE,"NewPCF";#N/A,#N/A,FALSE,"Lottery";#N/A,#N/A,FALSE,"DeclineFTE";#N/A,#N/A,FALSE,"Sparsity1";#N/A,#N/A,FALSE,"Sparsity2";#N/A,#N/A,FALSE,"Labs";#N/A,#N/A,FALSE,"Safe_Hou";#N/A,#N/A,FALSE,"PerformanceSupplement";#N/A,#N/A,FALSE,"Math1";#N/A,#N/A,FALSE,"Math23";#N/A,#N/A,FALSE,"Lang1";#N/A,#N/A,FALSE,"Lang23";#N/A,#N/A,FALSE,"Dropout";#N/A,#N/A,FALSE,"remred";#N/A,#N/A,FALSE,"Dropout2";#N/A,#N/A,FALSE,"MinimumPY1";#N/A,#N/A,FALSE,"MinimumPY4";#N/A,#N/A,FALSE,"MinimumPY2";#N/A,#N/A,FALSE,"MinimumPY5";#N/A,#N/A,FALSE,"MinimumCY1";#N/A,#N/A,FALSE,"MinimumCY2";#N/A,#N/A,FALSE,"MinimumCY3";#N/A,#N/A,FALSE,"MinimumCY4";#N/A,#N/A,FALSE,"MinGuarantee";#N/A,#N/A,FALSE,"MinPercent";#N/A,#N/A,FALSE,"Compression1";#N/A,#N/A,FALSE,"Compression2";#N/A,#N/A,FALSE,"Compression3";#N/A,#N/A,FALSE,"Compression4";#N/A,#N/A,FALSE,"Equalize1";#N/A,#N/A,FALSE,"AdditionalMills1";#N/A,#N/A,FALSE,"AdditionalMills2";#N/A,#N/A,FALSE,"Mills";#N/A,#N/A,FALSE,"LRE";#N/A,#N/A,FALSE,"Addon";#N/A,#N/A,FALSE,"FTESUMM";#N/A,#N/A,FALSE,"FTE2";#N/A,#N/A,FALSE,"BaseData";#N/A,#N/A,FALSE,"WFTE2";#N/A,#N/A,FALSE,"Nonvoted"}</definedName>
    <definedName name="wrn.SecondCalc9798." localSheetId="3" hidden="1">{#N/A,#N/A,FALSE,"Cover";#N/A,#N/A,FALSE,"Contents";#N/A,#N/A,FALSE,"BSA";#N/A,#N/A,FALSE,"Detail1";#N/A,#N/A,FALSE,"Detail2";#N/A,#N/A,FALSE,"NewPCF";#N/A,#N/A,FALSE,"Lottery";#N/A,#N/A,FALSE,"DeclineFTE";#N/A,#N/A,FALSE,"Sparsity1";#N/A,#N/A,FALSE,"Sparsity2";#N/A,#N/A,FALSE,"Labs";#N/A,#N/A,FALSE,"Safe_Hou";#N/A,#N/A,FALSE,"PerformanceSupplement";#N/A,#N/A,FALSE,"Math1";#N/A,#N/A,FALSE,"Math23";#N/A,#N/A,FALSE,"Lang1";#N/A,#N/A,FALSE,"Lang23";#N/A,#N/A,FALSE,"Dropout";#N/A,#N/A,FALSE,"remred";#N/A,#N/A,FALSE,"Dropout2";#N/A,#N/A,FALSE,"MinimumPY1";#N/A,#N/A,FALSE,"MinimumPY4";#N/A,#N/A,FALSE,"MinimumPY2";#N/A,#N/A,FALSE,"MinimumPY5";#N/A,#N/A,FALSE,"MinimumCY1";#N/A,#N/A,FALSE,"MinimumCY2";#N/A,#N/A,FALSE,"MinimumCY3";#N/A,#N/A,FALSE,"MinimumCY4";#N/A,#N/A,FALSE,"MinGuarantee";#N/A,#N/A,FALSE,"MinPercent";#N/A,#N/A,FALSE,"Compression1";#N/A,#N/A,FALSE,"Compression2";#N/A,#N/A,FALSE,"Compression3";#N/A,#N/A,FALSE,"Compression4";#N/A,#N/A,FALSE,"Equalize1";#N/A,#N/A,FALSE,"AdditionalMills1";#N/A,#N/A,FALSE,"AdditionalMills2";#N/A,#N/A,FALSE,"Mills";#N/A,#N/A,FALSE,"LRE";#N/A,#N/A,FALSE,"Addon";#N/A,#N/A,FALSE,"FTESUMM";#N/A,#N/A,FALSE,"FTE2";#N/A,#N/A,FALSE,"BaseData";#N/A,#N/A,FALSE,"WFTE2";#N/A,#N/A,FALSE,"Nonvoted"}</definedName>
    <definedName name="wrn.SecondCalc9798." hidden="1">{#N/A,#N/A,FALSE,"Cover";#N/A,#N/A,FALSE,"Contents";#N/A,#N/A,FALSE,"BSA";#N/A,#N/A,FALSE,"Detail1";#N/A,#N/A,FALSE,"Detail2";#N/A,#N/A,FALSE,"NewPCF";#N/A,#N/A,FALSE,"Lottery";#N/A,#N/A,FALSE,"DeclineFTE";#N/A,#N/A,FALSE,"Sparsity1";#N/A,#N/A,FALSE,"Sparsity2";#N/A,#N/A,FALSE,"Labs";#N/A,#N/A,FALSE,"Safe_Hou";#N/A,#N/A,FALSE,"PerformanceSupplement";#N/A,#N/A,FALSE,"Math1";#N/A,#N/A,FALSE,"Math23";#N/A,#N/A,FALSE,"Lang1";#N/A,#N/A,FALSE,"Lang23";#N/A,#N/A,FALSE,"Dropout";#N/A,#N/A,FALSE,"remred";#N/A,#N/A,FALSE,"Dropout2";#N/A,#N/A,FALSE,"MinimumPY1";#N/A,#N/A,FALSE,"MinimumPY4";#N/A,#N/A,FALSE,"MinimumPY2";#N/A,#N/A,FALSE,"MinimumPY5";#N/A,#N/A,FALSE,"MinimumCY1";#N/A,#N/A,FALSE,"MinimumCY2";#N/A,#N/A,FALSE,"MinimumCY3";#N/A,#N/A,FALSE,"MinimumCY4";#N/A,#N/A,FALSE,"MinGuarantee";#N/A,#N/A,FALSE,"MinPercent";#N/A,#N/A,FALSE,"Compression1";#N/A,#N/A,FALSE,"Compression2";#N/A,#N/A,FALSE,"Compression3";#N/A,#N/A,FALSE,"Compression4";#N/A,#N/A,FALSE,"Equalize1";#N/A,#N/A,FALSE,"AdditionalMills1";#N/A,#N/A,FALSE,"AdditionalMills2";#N/A,#N/A,FALSE,"Mills";#N/A,#N/A,FALSE,"LRE";#N/A,#N/A,FALSE,"Addon";#N/A,#N/A,FALSE,"FTESUMM";#N/A,#N/A,FALSE,"FTE2";#N/A,#N/A,FALSE,"BaseData";#N/A,#N/A,FALSE,"WFTE2";#N/A,#N/A,FALSE,"Nonvoted"}</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2" i="6" l="1"/>
  <c r="M9" i="6"/>
  <c r="D49" i="1"/>
  <c r="F49" i="1" s="1"/>
  <c r="D79" i="1"/>
  <c r="F79" i="1" s="1"/>
  <c r="D80" i="1"/>
  <c r="F80" i="1" s="1"/>
  <c r="D78" i="1"/>
  <c r="F78" i="1" s="1"/>
  <c r="F63" i="1"/>
  <c r="D63" i="1"/>
  <c r="D62" i="1"/>
  <c r="F62" i="1" s="1"/>
  <c r="D61" i="1"/>
  <c r="F61" i="1" s="1"/>
  <c r="D60" i="1"/>
  <c r="F60" i="1" s="1"/>
  <c r="F27" i="1"/>
  <c r="D28" i="1"/>
  <c r="F28" i="1" s="1"/>
  <c r="D27" i="1"/>
  <c r="D19" i="1"/>
  <c r="F19" i="1" s="1"/>
  <c r="D18" i="1"/>
  <c r="F18" i="1" s="1"/>
  <c r="D17" i="1"/>
  <c r="F17" i="1" s="1"/>
  <c r="D16" i="1"/>
  <c r="F16" i="1" s="1"/>
  <c r="D15" i="1"/>
  <c r="F15" i="1" s="1"/>
  <c r="D50" i="1"/>
  <c r="F50" i="1" s="1"/>
  <c r="D48" i="1"/>
  <c r="F48" i="1" s="1"/>
  <c r="D47" i="1"/>
  <c r="F47" i="1" s="1"/>
  <c r="D46" i="1"/>
  <c r="F46" i="1" s="1"/>
  <c r="D45" i="1"/>
  <c r="F45" i="1" s="1"/>
  <c r="D44" i="1"/>
  <c r="F44" i="1" s="1"/>
  <c r="D43" i="1"/>
  <c r="F43" i="1"/>
  <c r="P294" i="10" l="1"/>
  <c r="P293" i="10"/>
  <c r="P292" i="10"/>
  <c r="P291" i="10"/>
  <c r="P290" i="10"/>
  <c r="P289" i="10"/>
  <c r="P288" i="10"/>
  <c r="P287" i="10"/>
  <c r="P286" i="10"/>
  <c r="P285" i="10"/>
  <c r="P284" i="10"/>
  <c r="P283" i="10"/>
  <c r="P282" i="10"/>
  <c r="P281" i="10"/>
  <c r="P280" i="10"/>
  <c r="P279" i="10"/>
  <c r="P278" i="10"/>
  <c r="P277" i="10"/>
  <c r="P276" i="10"/>
  <c r="P275" i="10"/>
  <c r="P274" i="10"/>
  <c r="P273" i="10"/>
  <c r="P272" i="10"/>
  <c r="P271" i="10"/>
  <c r="P270" i="10"/>
  <c r="P269" i="10"/>
  <c r="P268" i="10"/>
  <c r="P267" i="10"/>
  <c r="P266" i="10"/>
  <c r="P265" i="10"/>
  <c r="P264" i="10"/>
  <c r="P263" i="10"/>
  <c r="P262" i="10"/>
  <c r="P261" i="10"/>
  <c r="P260" i="10"/>
  <c r="P259" i="10"/>
  <c r="P258" i="10"/>
  <c r="P257" i="10"/>
  <c r="P256" i="10"/>
  <c r="P255" i="10"/>
  <c r="P254" i="10"/>
  <c r="P253" i="10"/>
  <c r="P252" i="10"/>
  <c r="P251" i="10"/>
  <c r="P250" i="10"/>
  <c r="P249" i="10"/>
  <c r="P248" i="10"/>
  <c r="P247" i="10"/>
  <c r="P246" i="10"/>
  <c r="P245" i="10"/>
  <c r="P244" i="10"/>
  <c r="P243" i="10"/>
  <c r="P242" i="10"/>
  <c r="P241" i="10"/>
  <c r="P240" i="10"/>
  <c r="P239" i="10"/>
  <c r="P238" i="10"/>
  <c r="P237" i="10"/>
  <c r="P236" i="10"/>
  <c r="P235" i="10"/>
  <c r="P234" i="10"/>
  <c r="P233" i="10"/>
  <c r="P232" i="10"/>
  <c r="P231" i="10"/>
  <c r="P230" i="10"/>
  <c r="P229" i="10"/>
  <c r="P228" i="10"/>
  <c r="P227" i="10"/>
  <c r="P226" i="10"/>
  <c r="P225" i="10"/>
  <c r="P224" i="10"/>
  <c r="P223" i="10"/>
  <c r="P222" i="10"/>
  <c r="P221" i="10"/>
  <c r="P220" i="10"/>
  <c r="P219" i="10"/>
  <c r="P218" i="10"/>
  <c r="P217" i="10"/>
  <c r="P216" i="10"/>
  <c r="P215" i="10"/>
  <c r="P214" i="10"/>
  <c r="P213" i="10"/>
  <c r="P212" i="10"/>
  <c r="P211" i="10"/>
  <c r="P210" i="10"/>
  <c r="P209" i="10"/>
  <c r="P208" i="10"/>
  <c r="P207" i="10"/>
  <c r="P206" i="10"/>
  <c r="P205" i="10"/>
  <c r="P204" i="10"/>
  <c r="P203" i="10"/>
  <c r="P202" i="10"/>
  <c r="P201" i="10"/>
  <c r="P200" i="10"/>
  <c r="P199" i="10"/>
  <c r="P198" i="10"/>
  <c r="P197" i="10"/>
  <c r="P196" i="10"/>
  <c r="P195" i="10"/>
  <c r="P194" i="10"/>
  <c r="P193" i="10"/>
  <c r="P192" i="10"/>
  <c r="P191" i="10"/>
  <c r="P190" i="10"/>
  <c r="P189" i="10"/>
  <c r="P188" i="10"/>
  <c r="P187" i="10"/>
  <c r="P186" i="10"/>
  <c r="P185" i="10"/>
  <c r="P184" i="10"/>
  <c r="P183" i="10"/>
  <c r="P182" i="10"/>
  <c r="P181" i="10"/>
  <c r="P180" i="10"/>
  <c r="P179" i="10"/>
  <c r="P178" i="10"/>
  <c r="P177" i="10"/>
  <c r="P176" i="10"/>
  <c r="P175" i="10"/>
  <c r="P174" i="10"/>
  <c r="P173" i="10"/>
  <c r="P172" i="10"/>
  <c r="P171" i="10"/>
  <c r="P170" i="10"/>
  <c r="P169" i="10"/>
  <c r="P168" i="10"/>
  <c r="P167" i="10"/>
  <c r="P166" i="10"/>
  <c r="P165" i="10"/>
  <c r="P164" i="10"/>
  <c r="P163" i="10"/>
  <c r="P162" i="10"/>
  <c r="P161" i="10"/>
  <c r="P160" i="10"/>
  <c r="P159" i="10"/>
  <c r="P158" i="10"/>
  <c r="P157" i="10"/>
  <c r="P156" i="10"/>
  <c r="P155" i="10"/>
  <c r="P154" i="10"/>
  <c r="P153" i="10"/>
  <c r="P152" i="10"/>
  <c r="P151" i="10"/>
  <c r="P150" i="10"/>
  <c r="P149" i="10"/>
  <c r="P148" i="10"/>
  <c r="P147" i="10"/>
  <c r="P146" i="10"/>
  <c r="P145" i="10"/>
  <c r="P144" i="10"/>
  <c r="P143" i="10"/>
  <c r="P142" i="10"/>
  <c r="P141" i="10"/>
  <c r="P140" i="10"/>
  <c r="P139" i="10"/>
  <c r="P138" i="10"/>
  <c r="P137" i="10"/>
  <c r="P136" i="10"/>
  <c r="P135" i="10"/>
  <c r="P134" i="10"/>
  <c r="P133" i="10"/>
  <c r="P132" i="10"/>
  <c r="P131" i="10"/>
  <c r="P130" i="10"/>
  <c r="P129" i="10"/>
  <c r="P128" i="10"/>
  <c r="P127" i="10"/>
  <c r="P126" i="10"/>
  <c r="P125" i="10"/>
  <c r="P124" i="10"/>
  <c r="P123" i="10"/>
  <c r="P122" i="10"/>
  <c r="P121" i="10"/>
  <c r="P120" i="10"/>
  <c r="P119" i="10"/>
  <c r="P118" i="10"/>
  <c r="P117" i="10"/>
  <c r="P116" i="10"/>
  <c r="P115" i="10"/>
  <c r="P114" i="10"/>
  <c r="P113" i="10"/>
  <c r="P112" i="10"/>
  <c r="P111" i="10"/>
  <c r="P110" i="10"/>
  <c r="P109" i="10"/>
  <c r="P108" i="10"/>
  <c r="P107" i="10"/>
  <c r="P106" i="10"/>
  <c r="P105" i="10"/>
  <c r="P104" i="10"/>
  <c r="P103" i="10"/>
  <c r="P102" i="10"/>
  <c r="P101" i="10"/>
  <c r="P100" i="10"/>
  <c r="P99" i="10"/>
  <c r="P98" i="10"/>
  <c r="P97" i="10"/>
  <c r="P96" i="10"/>
  <c r="P95" i="10"/>
  <c r="P94" i="10"/>
  <c r="P93" i="10"/>
  <c r="P92" i="10"/>
  <c r="P91" i="10"/>
  <c r="P90" i="10"/>
  <c r="P89" i="10"/>
  <c r="P88" i="10"/>
  <c r="P87" i="10"/>
  <c r="P86" i="10"/>
  <c r="P85" i="10"/>
  <c r="P84" i="10"/>
  <c r="P83" i="10"/>
  <c r="P82" i="10"/>
  <c r="P81" i="10"/>
  <c r="P80" i="10"/>
  <c r="P79" i="10"/>
  <c r="P78" i="10"/>
  <c r="P77" i="10"/>
  <c r="P76" i="10"/>
  <c r="P75" i="10"/>
  <c r="P74" i="10"/>
  <c r="P73" i="10"/>
  <c r="P72" i="10"/>
  <c r="P71" i="10"/>
  <c r="P70" i="10"/>
  <c r="P69" i="10"/>
  <c r="P68" i="10"/>
  <c r="P67" i="10"/>
  <c r="P66" i="10"/>
  <c r="P65" i="10"/>
  <c r="P64" i="10"/>
  <c r="P63" i="10"/>
  <c r="P62" i="10"/>
  <c r="P61" i="10"/>
  <c r="P60" i="10"/>
  <c r="P59" i="10"/>
  <c r="P58" i="10"/>
  <c r="P57" i="10"/>
  <c r="P56" i="10"/>
  <c r="P55" i="10"/>
  <c r="P54" i="10"/>
  <c r="P53" i="10"/>
  <c r="P52" i="10"/>
  <c r="P51" i="10"/>
  <c r="P50" i="10"/>
  <c r="P49" i="10"/>
  <c r="P48" i="10"/>
  <c r="P47" i="10"/>
  <c r="P46" i="10"/>
  <c r="P41" i="10"/>
  <c r="P40" i="10"/>
  <c r="P39" i="10"/>
  <c r="P38" i="10"/>
  <c r="P37" i="10"/>
  <c r="P36" i="10"/>
  <c r="P35" i="10"/>
  <c r="P34" i="10"/>
  <c r="O294" i="10"/>
  <c r="O293" i="10"/>
  <c r="O292" i="10"/>
  <c r="O291" i="10"/>
  <c r="O290" i="10"/>
  <c r="O289" i="10"/>
  <c r="O288" i="10"/>
  <c r="O287" i="10"/>
  <c r="O286" i="10"/>
  <c r="O285" i="10"/>
  <c r="O284" i="10"/>
  <c r="O283" i="10"/>
  <c r="O282" i="10"/>
  <c r="O281" i="10"/>
  <c r="O280" i="10"/>
  <c r="O279" i="10"/>
  <c r="O278" i="10"/>
  <c r="O277" i="10"/>
  <c r="O276" i="10"/>
  <c r="O275" i="10"/>
  <c r="O274" i="10"/>
  <c r="O273" i="10"/>
  <c r="O272" i="10"/>
  <c r="O271" i="10"/>
  <c r="O270" i="10"/>
  <c r="O269" i="10"/>
  <c r="O268" i="10"/>
  <c r="O267" i="10"/>
  <c r="O266" i="10"/>
  <c r="O265" i="10"/>
  <c r="O264" i="10"/>
  <c r="O263" i="10"/>
  <c r="O262" i="10"/>
  <c r="O261" i="10"/>
  <c r="O260" i="10"/>
  <c r="O259" i="10"/>
  <c r="O258" i="10"/>
  <c r="O257" i="10"/>
  <c r="O256" i="10"/>
  <c r="O255" i="10"/>
  <c r="O254" i="10"/>
  <c r="O253" i="10"/>
  <c r="O252" i="10"/>
  <c r="O251" i="10"/>
  <c r="O250" i="10"/>
  <c r="O249" i="10"/>
  <c r="O248" i="10"/>
  <c r="O247" i="10"/>
  <c r="O246" i="10"/>
  <c r="O245" i="10"/>
  <c r="O244" i="10"/>
  <c r="O243" i="10"/>
  <c r="O242" i="10"/>
  <c r="O241" i="10"/>
  <c r="O240" i="10"/>
  <c r="O239" i="10"/>
  <c r="O238" i="10"/>
  <c r="O237" i="10"/>
  <c r="O236" i="10"/>
  <c r="O235" i="10"/>
  <c r="O234" i="10"/>
  <c r="O232" i="10"/>
  <c r="O231" i="10"/>
  <c r="O230" i="10"/>
  <c r="O229" i="10"/>
  <c r="O227" i="10"/>
  <c r="O226" i="10"/>
  <c r="O225" i="10"/>
  <c r="O224" i="10"/>
  <c r="O223" i="10"/>
  <c r="O222" i="10"/>
  <c r="O221" i="10"/>
  <c r="O220" i="10"/>
  <c r="O219" i="10"/>
  <c r="O218" i="10"/>
  <c r="O217" i="10"/>
  <c r="O216" i="10"/>
  <c r="O215" i="10"/>
  <c r="O214" i="10"/>
  <c r="O213" i="10"/>
  <c r="O212" i="10"/>
  <c r="O211" i="10"/>
  <c r="O210" i="10"/>
  <c r="O209" i="10"/>
  <c r="O208" i="10"/>
  <c r="O207" i="10"/>
  <c r="O206" i="10"/>
  <c r="O205" i="10"/>
  <c r="O204" i="10"/>
  <c r="O203" i="10"/>
  <c r="O202" i="10"/>
  <c r="O201" i="10"/>
  <c r="O200" i="10"/>
  <c r="O199" i="10"/>
  <c r="O198" i="10"/>
  <c r="O197" i="10"/>
  <c r="O196" i="10"/>
  <c r="O195" i="10"/>
  <c r="O194" i="10"/>
  <c r="O193" i="10"/>
  <c r="O192" i="10"/>
  <c r="O191" i="10"/>
  <c r="O190" i="10"/>
  <c r="O189" i="10"/>
  <c r="O188" i="10"/>
  <c r="O187" i="10"/>
  <c r="O186" i="10"/>
  <c r="O185" i="10"/>
  <c r="O184" i="10"/>
  <c r="O183" i="10"/>
  <c r="O182" i="10"/>
  <c r="O181" i="10"/>
  <c r="O180" i="10"/>
  <c r="O179" i="10"/>
  <c r="O178" i="10"/>
  <c r="O177" i="10"/>
  <c r="O176" i="10"/>
  <c r="O175" i="10"/>
  <c r="O174" i="10"/>
  <c r="O173" i="10"/>
  <c r="O172" i="10"/>
  <c r="O171" i="10"/>
  <c r="O170" i="10"/>
  <c r="O169" i="10"/>
  <c r="O168" i="10"/>
  <c r="O167" i="10"/>
  <c r="O166" i="10"/>
  <c r="O165" i="10"/>
  <c r="O164" i="10"/>
  <c r="O163" i="10"/>
  <c r="O162" i="10"/>
  <c r="O161" i="10"/>
  <c r="O160" i="10"/>
  <c r="O159" i="10"/>
  <c r="O158" i="10"/>
  <c r="O157" i="10"/>
  <c r="O156" i="10"/>
  <c r="O155" i="10"/>
  <c r="O154" i="10"/>
  <c r="O153" i="10"/>
  <c r="O152" i="10"/>
  <c r="O151" i="10"/>
  <c r="O150" i="10"/>
  <c r="O149" i="10"/>
  <c r="O148" i="10"/>
  <c r="O147" i="10"/>
  <c r="O146" i="10"/>
  <c r="O145" i="10"/>
  <c r="O144" i="10"/>
  <c r="O143" i="10"/>
  <c r="O142" i="10"/>
  <c r="O141" i="10"/>
  <c r="O140" i="10"/>
  <c r="O138" i="10"/>
  <c r="O137" i="10"/>
  <c r="O136" i="10"/>
  <c r="O135" i="10"/>
  <c r="O134" i="10"/>
  <c r="O133" i="10"/>
  <c r="O132" i="10"/>
  <c r="O131" i="10"/>
  <c r="O130" i="10"/>
  <c r="O129" i="10"/>
  <c r="O128" i="10"/>
  <c r="O127" i="10"/>
  <c r="O126" i="10"/>
  <c r="O125" i="10"/>
  <c r="O124" i="10"/>
  <c r="O123" i="10"/>
  <c r="O122" i="10"/>
  <c r="O121" i="10"/>
  <c r="O120" i="10"/>
  <c r="O119" i="10"/>
  <c r="O118" i="10"/>
  <c r="O117" i="10"/>
  <c r="O116" i="10"/>
  <c r="O115" i="10"/>
  <c r="O114" i="10"/>
  <c r="O113" i="10"/>
  <c r="O112" i="10"/>
  <c r="O111" i="10"/>
  <c r="O110" i="10"/>
  <c r="O109" i="10"/>
  <c r="O108" i="10"/>
  <c r="O107" i="10"/>
  <c r="O106" i="10"/>
  <c r="O105" i="10"/>
  <c r="O104" i="10"/>
  <c r="O103" i="10"/>
  <c r="O102" i="10"/>
  <c r="O101" i="10"/>
  <c r="O100" i="10"/>
  <c r="O99" i="10"/>
  <c r="O98" i="10"/>
  <c r="O97" i="10"/>
  <c r="O96" i="10"/>
  <c r="O95" i="10"/>
  <c r="O94" i="10"/>
  <c r="O93" i="10"/>
  <c r="O92" i="10"/>
  <c r="O91" i="10"/>
  <c r="O90" i="10"/>
  <c r="O89" i="10"/>
  <c r="O88" i="10"/>
  <c r="O87" i="10"/>
  <c r="O86" i="10"/>
  <c r="O85" i="10"/>
  <c r="O83" i="10"/>
  <c r="O82" i="10"/>
  <c r="O81" i="10"/>
  <c r="O80" i="10"/>
  <c r="O79" i="10"/>
  <c r="O78" i="10"/>
  <c r="O77" i="10"/>
  <c r="O76" i="10"/>
  <c r="O75" i="10"/>
  <c r="O74" i="10"/>
  <c r="O73" i="10"/>
  <c r="O72" i="10"/>
  <c r="O71" i="10"/>
  <c r="O70" i="10"/>
  <c r="O69" i="10"/>
  <c r="O68" i="10"/>
  <c r="O67" i="10"/>
  <c r="O66" i="10"/>
  <c r="O65" i="10"/>
  <c r="O64" i="10"/>
  <c r="O63" i="10"/>
  <c r="O62" i="10"/>
  <c r="O61" i="10"/>
  <c r="O60" i="10"/>
  <c r="O59" i="10"/>
  <c r="O58" i="10"/>
  <c r="O57" i="10"/>
  <c r="O56" i="10"/>
  <c r="O55" i="10"/>
  <c r="O54" i="10"/>
  <c r="O53" i="10"/>
  <c r="O52" i="10"/>
  <c r="O51" i="10"/>
  <c r="O50" i="10"/>
  <c r="O49" i="10"/>
  <c r="O48" i="10"/>
  <c r="O47" i="10"/>
  <c r="O46" i="10"/>
  <c r="O41" i="10"/>
  <c r="O40" i="10"/>
  <c r="O39" i="10"/>
  <c r="O38" i="10"/>
  <c r="O37" i="10"/>
  <c r="O36" i="10"/>
  <c r="O35" i="10"/>
  <c r="O34" i="10"/>
  <c r="O28" i="10"/>
  <c r="B1" i="6"/>
  <c r="B1" i="8"/>
  <c r="B254" i="10"/>
  <c r="C254" i="10"/>
  <c r="D254" i="10"/>
  <c r="E254" i="10"/>
  <c r="G254" i="10"/>
  <c r="H254" i="10"/>
  <c r="B255" i="10"/>
  <c r="C255" i="10"/>
  <c r="D255" i="10"/>
  <c r="E255" i="10"/>
  <c r="G255" i="10"/>
  <c r="H255" i="10"/>
  <c r="B256" i="10"/>
  <c r="C256" i="10"/>
  <c r="D256" i="10"/>
  <c r="E256" i="10"/>
  <c r="G256" i="10"/>
  <c r="H256" i="10"/>
  <c r="B257" i="10"/>
  <c r="C257" i="10"/>
  <c r="D257" i="10"/>
  <c r="E257" i="10"/>
  <c r="G257" i="10"/>
  <c r="B258" i="10"/>
  <c r="C258" i="10"/>
  <c r="D258" i="10"/>
  <c r="E258" i="10"/>
  <c r="G258" i="10"/>
  <c r="B259" i="10"/>
  <c r="C259" i="10"/>
  <c r="D259" i="10"/>
  <c r="E259" i="10"/>
  <c r="G259" i="10"/>
  <c r="B260" i="10"/>
  <c r="C260" i="10"/>
  <c r="D260" i="10"/>
  <c r="E260" i="10"/>
  <c r="G260" i="10"/>
  <c r="B261" i="10"/>
  <c r="C261" i="10"/>
  <c r="D261" i="10"/>
  <c r="E261" i="10"/>
  <c r="G261" i="10"/>
  <c r="B229" i="10"/>
  <c r="C229" i="10"/>
  <c r="D229" i="10"/>
  <c r="E229" i="10"/>
  <c r="G229" i="10"/>
  <c r="B230" i="10"/>
  <c r="C230" i="10"/>
  <c r="D230" i="10"/>
  <c r="E230" i="10"/>
  <c r="G230" i="10"/>
  <c r="B231" i="10"/>
  <c r="C231" i="10"/>
  <c r="D231" i="10"/>
  <c r="E231" i="10"/>
  <c r="G231" i="10"/>
  <c r="H231" i="10"/>
  <c r="B232" i="10"/>
  <c r="C232" i="10"/>
  <c r="D232" i="10"/>
  <c r="E232" i="10"/>
  <c r="G232" i="10"/>
  <c r="H232" i="10"/>
  <c r="B233" i="10"/>
  <c r="O233" i="10" s="1"/>
  <c r="C233" i="10"/>
  <c r="D233" i="10"/>
  <c r="E233" i="10"/>
  <c r="G233" i="10"/>
  <c r="H233" i="10"/>
  <c r="B234" i="10"/>
  <c r="C234" i="10"/>
  <c r="D234" i="10"/>
  <c r="E234" i="10"/>
  <c r="G234" i="10"/>
  <c r="H234" i="10"/>
  <c r="H228" i="10"/>
  <c r="I228" i="10" s="1"/>
  <c r="G228" i="10"/>
  <c r="E228" i="10"/>
  <c r="D228" i="10"/>
  <c r="C228" i="10"/>
  <c r="B228" i="10"/>
  <c r="N228" i="10" s="1"/>
  <c r="B200" i="10"/>
  <c r="C200" i="10"/>
  <c r="D200" i="10"/>
  <c r="E200" i="10"/>
  <c r="G200" i="10"/>
  <c r="H200" i="10"/>
  <c r="B201" i="10"/>
  <c r="C201" i="10"/>
  <c r="D201" i="10"/>
  <c r="E201" i="10"/>
  <c r="G201" i="10"/>
  <c r="B139" i="10"/>
  <c r="O139" i="10" s="1"/>
  <c r="C139" i="10"/>
  <c r="D139" i="10"/>
  <c r="E139" i="10"/>
  <c r="G139" i="10"/>
  <c r="H139" i="10"/>
  <c r="B84" i="10"/>
  <c r="O84" i="10" s="1"/>
  <c r="C84" i="10"/>
  <c r="D84" i="10"/>
  <c r="E84" i="10"/>
  <c r="G84" i="10"/>
  <c r="H84" i="10"/>
  <c r="B85" i="10"/>
  <c r="C85" i="10"/>
  <c r="D85" i="10"/>
  <c r="E85" i="10"/>
  <c r="G85" i="10"/>
  <c r="B86" i="10"/>
  <c r="C86" i="10"/>
  <c r="D86" i="10"/>
  <c r="E86" i="10"/>
  <c r="G86" i="10"/>
  <c r="B87" i="10"/>
  <c r="C87" i="10"/>
  <c r="D87" i="10"/>
  <c r="E87" i="10"/>
  <c r="G87" i="10"/>
  <c r="B88" i="10"/>
  <c r="C88" i="10"/>
  <c r="D88" i="10"/>
  <c r="E88" i="10"/>
  <c r="G88" i="10"/>
  <c r="B89" i="10"/>
  <c r="C89" i="10"/>
  <c r="D89" i="10"/>
  <c r="E89" i="10"/>
  <c r="G89" i="10"/>
  <c r="B90" i="10"/>
  <c r="C90" i="10"/>
  <c r="D90" i="10"/>
  <c r="E90" i="10"/>
  <c r="G90" i="10"/>
  <c r="B91" i="10"/>
  <c r="C91" i="10"/>
  <c r="D91" i="10"/>
  <c r="E91" i="10"/>
  <c r="G91" i="10"/>
  <c r="M53" i="6"/>
  <c r="P53" i="6"/>
  <c r="M46" i="6"/>
  <c r="P46" i="6"/>
  <c r="M41" i="6"/>
  <c r="P41" i="6" s="1"/>
  <c r="M39" i="6"/>
  <c r="P39" i="6" s="1"/>
  <c r="M23" i="6"/>
  <c r="P23" i="6" s="1"/>
  <c r="M10" i="6"/>
  <c r="P10" i="6" s="1"/>
  <c r="J103" i="1"/>
  <c r="J102" i="1"/>
  <c r="J101" i="1"/>
  <c r="J100" i="1"/>
  <c r="J99" i="1"/>
  <c r="J97" i="1"/>
  <c r="J96" i="1"/>
  <c r="J95" i="1"/>
  <c r="J93" i="1"/>
  <c r="J92" i="1"/>
  <c r="J91" i="1"/>
  <c r="J90" i="1"/>
  <c r="J89" i="1"/>
  <c r="J88" i="1"/>
  <c r="J86" i="1"/>
  <c r="J85" i="1"/>
  <c r="J84" i="1"/>
  <c r="J83" i="1"/>
  <c r="J81" i="1"/>
  <c r="J80" i="1"/>
  <c r="J79" i="1"/>
  <c r="J78" i="1"/>
  <c r="J77" i="1"/>
  <c r="J74" i="1"/>
  <c r="J73" i="1"/>
  <c r="J72" i="1"/>
  <c r="J71" i="1"/>
  <c r="J69" i="1"/>
  <c r="J68" i="1"/>
  <c r="J67" i="1"/>
  <c r="J65" i="1"/>
  <c r="J64" i="1"/>
  <c r="J63" i="1"/>
  <c r="J62" i="1"/>
  <c r="J61" i="1"/>
  <c r="J60" i="1"/>
  <c r="J59" i="1"/>
  <c r="J56" i="1"/>
  <c r="J55" i="1"/>
  <c r="J54" i="1"/>
  <c r="J53" i="1"/>
  <c r="J52" i="1"/>
  <c r="J51" i="1"/>
  <c r="J50" i="1"/>
  <c r="J49" i="1"/>
  <c r="J48" i="1"/>
  <c r="J47" i="1"/>
  <c r="J46" i="1"/>
  <c r="J45" i="1"/>
  <c r="J44" i="1"/>
  <c r="J43" i="1"/>
  <c r="J42" i="1"/>
  <c r="J39" i="1"/>
  <c r="J38" i="1"/>
  <c r="J37" i="1"/>
  <c r="J36" i="1"/>
  <c r="J33" i="1"/>
  <c r="J32" i="1"/>
  <c r="J31" i="1"/>
  <c r="J30" i="1"/>
  <c r="J29" i="1"/>
  <c r="J28" i="1"/>
  <c r="J27" i="1"/>
  <c r="J26" i="1"/>
  <c r="J25" i="1"/>
  <c r="J24" i="1"/>
  <c r="J23" i="1"/>
  <c r="J22" i="1"/>
  <c r="J21" i="1"/>
  <c r="J19" i="1"/>
  <c r="J18" i="1"/>
  <c r="J17" i="1"/>
  <c r="J16" i="1"/>
  <c r="J15" i="1"/>
  <c r="J14" i="1"/>
  <c r="B17" i="10"/>
  <c r="C17" i="10"/>
  <c r="D17" i="10"/>
  <c r="E17" i="10"/>
  <c r="G17" i="10"/>
  <c r="H17" i="10"/>
  <c r="I17" i="10" s="1"/>
  <c r="B18" i="10"/>
  <c r="C18" i="10"/>
  <c r="D18" i="10"/>
  <c r="E18" i="10"/>
  <c r="G18" i="10"/>
  <c r="B19" i="10"/>
  <c r="P19" i="10" s="1"/>
  <c r="C19" i="10"/>
  <c r="D19" i="10"/>
  <c r="E19" i="10"/>
  <c r="G19" i="10"/>
  <c r="H19" i="10"/>
  <c r="I19" i="10" s="1"/>
  <c r="B20" i="10"/>
  <c r="P20" i="10" s="1"/>
  <c r="C20" i="10"/>
  <c r="D20" i="10"/>
  <c r="E20" i="10"/>
  <c r="G20" i="10"/>
  <c r="H20" i="10"/>
  <c r="I20" i="10" s="1"/>
  <c r="B21" i="10"/>
  <c r="P21" i="10" s="1"/>
  <c r="C21" i="10"/>
  <c r="D21" i="10"/>
  <c r="E21" i="10"/>
  <c r="G21" i="10"/>
  <c r="B22" i="10"/>
  <c r="P22" i="10" s="1"/>
  <c r="C22" i="10"/>
  <c r="D22" i="10"/>
  <c r="E22" i="10"/>
  <c r="G22" i="10"/>
  <c r="H22" i="10"/>
  <c r="I22" i="10" s="1"/>
  <c r="B23" i="10"/>
  <c r="O23" i="10" s="1"/>
  <c r="C23" i="10"/>
  <c r="D23" i="10"/>
  <c r="E23" i="10"/>
  <c r="G23" i="10"/>
  <c r="B24" i="10"/>
  <c r="O24" i="10" s="1"/>
  <c r="C24" i="10"/>
  <c r="D24" i="10"/>
  <c r="E24" i="10"/>
  <c r="G24" i="10"/>
  <c r="H24" i="10"/>
  <c r="I24" i="10" s="1"/>
  <c r="B25" i="10"/>
  <c r="P25" i="10" s="1"/>
  <c r="C25" i="10"/>
  <c r="D25" i="10"/>
  <c r="E25" i="10"/>
  <c r="G25" i="10"/>
  <c r="B26" i="10"/>
  <c r="P26" i="10" s="1"/>
  <c r="C26" i="10"/>
  <c r="D26" i="10"/>
  <c r="E26" i="10"/>
  <c r="G26" i="10"/>
  <c r="H26" i="10"/>
  <c r="I26" i="10"/>
  <c r="B27" i="10"/>
  <c r="P27" i="10" s="1"/>
  <c r="C27" i="10"/>
  <c r="D27" i="10"/>
  <c r="E27" i="10"/>
  <c r="G27" i="10"/>
  <c r="H27" i="10"/>
  <c r="I27" i="10" s="1"/>
  <c r="B28" i="10"/>
  <c r="P28" i="10" s="1"/>
  <c r="C28" i="10"/>
  <c r="D28" i="10"/>
  <c r="E28" i="10"/>
  <c r="G28" i="10"/>
  <c r="B29" i="10"/>
  <c r="P29" i="10" s="1"/>
  <c r="C29" i="10"/>
  <c r="D29" i="10"/>
  <c r="E29" i="10"/>
  <c r="G29" i="10"/>
  <c r="B30" i="10"/>
  <c r="P30" i="10" s="1"/>
  <c r="C30" i="10"/>
  <c r="D30" i="10"/>
  <c r="E30" i="10"/>
  <c r="G30" i="10"/>
  <c r="B31" i="10"/>
  <c r="P31" i="10" s="1"/>
  <c r="C31" i="10"/>
  <c r="D31" i="10"/>
  <c r="E31" i="10"/>
  <c r="G31" i="10"/>
  <c r="H31" i="10"/>
  <c r="I31" i="10" s="1"/>
  <c r="B32" i="10"/>
  <c r="O32" i="10" s="1"/>
  <c r="C32" i="10"/>
  <c r="D32" i="10"/>
  <c r="E32" i="10"/>
  <c r="G32" i="10"/>
  <c r="B33" i="10"/>
  <c r="P33" i="10" s="1"/>
  <c r="C33" i="10"/>
  <c r="D33" i="10"/>
  <c r="E33" i="10"/>
  <c r="G33" i="10"/>
  <c r="P17" i="10" l="1"/>
  <c r="P23" i="10"/>
  <c r="O31" i="10"/>
  <c r="O19" i="10"/>
  <c r="O20" i="10"/>
  <c r="P24" i="10"/>
  <c r="P32" i="10"/>
  <c r="O17" i="10"/>
  <c r="O21" i="10"/>
  <c r="O25" i="10"/>
  <c r="O29" i="10"/>
  <c r="O33" i="10"/>
  <c r="O27" i="10"/>
  <c r="O18" i="10"/>
  <c r="O22" i="10"/>
  <c r="O26" i="10"/>
  <c r="O30" i="10"/>
  <c r="P295" i="10"/>
  <c r="O228" i="10"/>
  <c r="O295" i="10"/>
  <c r="M228" i="10"/>
  <c r="J12" i="8" l="1"/>
  <c r="M11" i="8"/>
  <c r="J26" i="8"/>
  <c r="H32" i="10" s="1"/>
  <c r="I32" i="10" s="1"/>
  <c r="J15" i="8"/>
  <c r="H21" i="10" s="1"/>
  <c r="I21" i="10" s="1"/>
  <c r="M12" i="8" l="1"/>
  <c r="H18" i="10"/>
  <c r="N79" i="10"/>
  <c r="M79" i="10"/>
  <c r="I18" i="10" l="1"/>
  <c r="P18" i="10"/>
  <c r="I79" i="10"/>
  <c r="E34" i="35" l="1"/>
  <c r="M13" i="8"/>
  <c r="AF40" i="34" l="1"/>
  <c r="AE40" i="34"/>
  <c r="X40" i="34"/>
  <c r="W40" i="34"/>
  <c r="V40" i="34"/>
  <c r="U40" i="34"/>
  <c r="T40" i="34"/>
  <c r="S40" i="34"/>
  <c r="R40" i="34"/>
  <c r="Q40" i="34"/>
  <c r="P40" i="34"/>
  <c r="O40" i="34"/>
  <c r="N40" i="34"/>
  <c r="M40" i="34"/>
  <c r="L40" i="34"/>
  <c r="K40" i="34"/>
  <c r="J40" i="34"/>
  <c r="I40" i="34"/>
  <c r="H40" i="34"/>
  <c r="G40" i="34"/>
  <c r="AD34" i="34"/>
  <c r="AC34" i="34"/>
  <c r="AB34" i="34"/>
  <c r="AA34" i="34"/>
  <c r="Z34" i="34"/>
  <c r="Y34" i="34"/>
  <c r="X34" i="34"/>
  <c r="W34" i="34"/>
  <c r="V34" i="34"/>
  <c r="U34" i="34"/>
  <c r="T34" i="34"/>
  <c r="S34" i="34"/>
  <c r="R34" i="34"/>
  <c r="Q34" i="34"/>
  <c r="P34" i="34"/>
  <c r="O34" i="34"/>
  <c r="N34" i="34"/>
  <c r="M34" i="34"/>
  <c r="L34" i="34"/>
  <c r="K34" i="34"/>
  <c r="J34" i="34"/>
  <c r="I34" i="34"/>
  <c r="H34" i="34"/>
  <c r="G34" i="34"/>
  <c r="AK33" i="34"/>
  <c r="AG33" i="34"/>
  <c r="AG34" i="34" s="1"/>
  <c r="AF33" i="34"/>
  <c r="AG32" i="34"/>
  <c r="AE32" i="34"/>
  <c r="AK32" i="34" s="1"/>
  <c r="AG31" i="34"/>
  <c r="AE31" i="34"/>
  <c r="AE34" i="34" s="1"/>
  <c r="AD29" i="34"/>
  <c r="AC29" i="34"/>
  <c r="AB29" i="34"/>
  <c r="AA29" i="34"/>
  <c r="Z29" i="34"/>
  <c r="Y29" i="34"/>
  <c r="X29" i="34"/>
  <c r="W29" i="34"/>
  <c r="V29" i="34"/>
  <c r="U29" i="34"/>
  <c r="T29" i="34"/>
  <c r="S29" i="34"/>
  <c r="P29" i="34"/>
  <c r="O29" i="34"/>
  <c r="N29" i="34"/>
  <c r="L29" i="34"/>
  <c r="K29" i="34"/>
  <c r="J29" i="34"/>
  <c r="I29" i="34"/>
  <c r="G29" i="34"/>
  <c r="R28" i="34"/>
  <c r="R29" i="34" s="1"/>
  <c r="Q28" i="34"/>
  <c r="Q29" i="34" s="1"/>
  <c r="O28" i="34"/>
  <c r="N28" i="34"/>
  <c r="M28" i="34"/>
  <c r="AE28" i="34" s="1"/>
  <c r="H28" i="34"/>
  <c r="AG28" i="34" s="1"/>
  <c r="AG27" i="34"/>
  <c r="AF27" i="34"/>
  <c r="AE27" i="34"/>
  <c r="AK27" i="34" s="1"/>
  <c r="M27" i="34"/>
  <c r="M29" i="34" s="1"/>
  <c r="AK26" i="34"/>
  <c r="AG26" i="34"/>
  <c r="AE26" i="34"/>
  <c r="AF26" i="34" s="1"/>
  <c r="AK25" i="34"/>
  <c r="AG25" i="34"/>
  <c r="AG29" i="34" s="1"/>
  <c r="AE25" i="34"/>
  <c r="AF25" i="34" s="1"/>
  <c r="AD23" i="34"/>
  <c r="AC23" i="34"/>
  <c r="AB23" i="34"/>
  <c r="AA23" i="34"/>
  <c r="Z23" i="34"/>
  <c r="Y23" i="34"/>
  <c r="X23" i="34"/>
  <c r="W23" i="34"/>
  <c r="V23" i="34"/>
  <c r="U23" i="34"/>
  <c r="T23" i="34"/>
  <c r="L23" i="34"/>
  <c r="K23" i="34"/>
  <c r="J23" i="34"/>
  <c r="I23" i="34"/>
  <c r="H23" i="34"/>
  <c r="G23" i="34"/>
  <c r="AF22" i="34"/>
  <c r="S22" i="34"/>
  <c r="R22" i="34"/>
  <c r="Q22" i="34"/>
  <c r="P22" i="34"/>
  <c r="O22" i="34"/>
  <c r="M22" i="34"/>
  <c r="AG22" i="34" s="1"/>
  <c r="S21" i="34"/>
  <c r="R21" i="34"/>
  <c r="Q21" i="34"/>
  <c r="P21" i="34"/>
  <c r="O21" i="34"/>
  <c r="N21" i="34"/>
  <c r="M21" i="34"/>
  <c r="AE21" i="34" s="1"/>
  <c r="H21" i="34"/>
  <c r="AG20" i="34"/>
  <c r="AF20" i="34"/>
  <c r="AE20" i="34"/>
  <c r="AK20" i="34" s="1"/>
  <c r="O19" i="34"/>
  <c r="N19" i="34"/>
  <c r="M19" i="34"/>
  <c r="AG19" i="34" s="1"/>
  <c r="L19" i="34"/>
  <c r="AE19" i="34" s="1"/>
  <c r="AG18" i="34"/>
  <c r="AF18" i="34"/>
  <c r="AE18" i="34"/>
  <c r="AK18" i="34" s="1"/>
  <c r="S17" i="34"/>
  <c r="R17" i="34"/>
  <c r="Q17" i="34"/>
  <c r="P17" i="34"/>
  <c r="O17" i="34"/>
  <c r="N17" i="34"/>
  <c r="M17" i="34"/>
  <c r="AG17" i="34" s="1"/>
  <c r="L17" i="34"/>
  <c r="AE17" i="34" s="1"/>
  <c r="R16" i="34"/>
  <c r="Q16" i="34"/>
  <c r="O16" i="34"/>
  <c r="AE16" i="34" s="1"/>
  <c r="AG15" i="34"/>
  <c r="AE15" i="34"/>
  <c r="AK15" i="34" s="1"/>
  <c r="S14" i="34"/>
  <c r="S23" i="34" s="1"/>
  <c r="R14" i="34"/>
  <c r="R23" i="34" s="1"/>
  <c r="Q14" i="34"/>
  <c r="Q23" i="34" s="1"/>
  <c r="P14" i="34"/>
  <c r="P23" i="34" s="1"/>
  <c r="O14" i="34"/>
  <c r="O23" i="34" s="1"/>
  <c r="N14" i="34"/>
  <c r="N23" i="34" s="1"/>
  <c r="H14" i="34"/>
  <c r="AG14" i="34" s="1"/>
  <c r="AD12" i="34"/>
  <c r="AC12" i="34"/>
  <c r="AC42" i="34" s="1"/>
  <c r="AB12" i="34"/>
  <c r="AA12" i="34"/>
  <c r="Z12" i="34"/>
  <c r="Z42" i="34" s="1"/>
  <c r="Y12" i="34"/>
  <c r="Y42" i="34" s="1"/>
  <c r="X12" i="34"/>
  <c r="W12" i="34"/>
  <c r="V12" i="34"/>
  <c r="V42" i="34" s="1"/>
  <c r="U12" i="34"/>
  <c r="U42" i="34" s="1"/>
  <c r="T12" i="34"/>
  <c r="S12" i="34"/>
  <c r="R12" i="34"/>
  <c r="Q12" i="34"/>
  <c r="Q42" i="34" s="1"/>
  <c r="P12" i="34"/>
  <c r="O12" i="34"/>
  <c r="K12" i="34"/>
  <c r="J12" i="34"/>
  <c r="J42" i="34" s="1"/>
  <c r="I12" i="34"/>
  <c r="H12" i="34"/>
  <c r="G12" i="34"/>
  <c r="AK11" i="34"/>
  <c r="AF11" i="34"/>
  <c r="AE11" i="34"/>
  <c r="N11" i="34"/>
  <c r="N12" i="34" s="1"/>
  <c r="M11" i="34"/>
  <c r="L11" i="34"/>
  <c r="L12" i="34" s="1"/>
  <c r="AG10" i="34"/>
  <c r="AF10" i="34"/>
  <c r="AF12" i="34" s="1"/>
  <c r="AE10" i="34"/>
  <c r="AE12" i="34" s="1"/>
  <c r="AC8" i="34"/>
  <c r="AB8" i="34"/>
  <c r="AB42" i="34" s="1"/>
  <c r="AA8" i="34"/>
  <c r="AA42" i="34" s="1"/>
  <c r="Z8" i="34"/>
  <c r="Y8" i="34"/>
  <c r="X8" i="34"/>
  <c r="X42" i="34" s="1"/>
  <c r="W8" i="34"/>
  <c r="W42" i="34" s="1"/>
  <c r="V8" i="34"/>
  <c r="U8" i="34"/>
  <c r="T8" i="34"/>
  <c r="T42" i="34" s="1"/>
  <c r="S8" i="34"/>
  <c r="R8" i="34"/>
  <c r="Q8" i="34"/>
  <c r="P8" i="34"/>
  <c r="P42" i="34" s="1"/>
  <c r="O8" i="34"/>
  <c r="M8" i="34"/>
  <c r="L8" i="34"/>
  <c r="L42" i="34" s="1"/>
  <c r="K8" i="34"/>
  <c r="K42" i="34" s="1"/>
  <c r="J8" i="34"/>
  <c r="H8" i="34"/>
  <c r="G8" i="34"/>
  <c r="G42" i="34" s="1"/>
  <c r="AG7" i="34"/>
  <c r="AE7" i="34"/>
  <c r="AF7" i="34" s="1"/>
  <c r="AF6" i="34"/>
  <c r="AE6" i="34"/>
  <c r="AD6" i="34"/>
  <c r="I6" i="34"/>
  <c r="AG5" i="34"/>
  <c r="AE5" i="34"/>
  <c r="AK5" i="34" s="1"/>
  <c r="AG4" i="34"/>
  <c r="AE4" i="34"/>
  <c r="AK4" i="34" s="1"/>
  <c r="AE3" i="34"/>
  <c r="AF3" i="34" s="1"/>
  <c r="AD3" i="34"/>
  <c r="AD8" i="34" s="1"/>
  <c r="N3" i="34"/>
  <c r="N8" i="34" s="1"/>
  <c r="I3" i="34"/>
  <c r="I8" i="34" s="1"/>
  <c r="AK2" i="34"/>
  <c r="AG2" i="34"/>
  <c r="AF2" i="34"/>
  <c r="AE2" i="34"/>
  <c r="AF16" i="34" l="1"/>
  <c r="AK16" i="34"/>
  <c r="AF8" i="34"/>
  <c r="S42" i="34"/>
  <c r="R42" i="34"/>
  <c r="AF19" i="34"/>
  <c r="AK19" i="34"/>
  <c r="AK21" i="34"/>
  <c r="AF21" i="34"/>
  <c r="AF28" i="34"/>
  <c r="AF29" i="34" s="1"/>
  <c r="AE29" i="34"/>
  <c r="AK28" i="34"/>
  <c r="H42" i="34"/>
  <c r="I42" i="34"/>
  <c r="O42" i="34"/>
  <c r="N42" i="34"/>
  <c r="AK17" i="34"/>
  <c r="AF17" i="34"/>
  <c r="AE8" i="34"/>
  <c r="AG11" i="34"/>
  <c r="AG12" i="34" s="1"/>
  <c r="M12" i="34"/>
  <c r="M42" i="34" s="1"/>
  <c r="AG16" i="34"/>
  <c r="AG23" i="34" s="1"/>
  <c r="AG21" i="34"/>
  <c r="M23" i="34"/>
  <c r="AF31" i="34"/>
  <c r="AF32" i="34"/>
  <c r="AD42" i="34"/>
  <c r="AK10" i="34"/>
  <c r="H29" i="34"/>
  <c r="AG6" i="34"/>
  <c r="AE14" i="34"/>
  <c r="AF4" i="34"/>
  <c r="AF5" i="34"/>
  <c r="AF15" i="34"/>
  <c r="AG3" i="34"/>
  <c r="AK31" i="34"/>
  <c r="AF34" i="34" l="1"/>
  <c r="AE23" i="34"/>
  <c r="AE42" i="34" s="1"/>
  <c r="AK14" i="34"/>
  <c r="AF14" i="34"/>
  <c r="AG8" i="34"/>
  <c r="AG42" i="34" s="1"/>
  <c r="AF23" i="34" l="1"/>
  <c r="AF42" i="34"/>
  <c r="P25" i="6" l="1"/>
  <c r="P44" i="6"/>
  <c r="P45" i="6"/>
  <c r="P47" i="6"/>
  <c r="P48" i="6"/>
  <c r="P51" i="6"/>
  <c r="P52" i="6"/>
  <c r="P60" i="6"/>
  <c r="P61" i="6"/>
  <c r="P64" i="6"/>
  <c r="P65" i="6"/>
  <c r="P66" i="6"/>
  <c r="P67" i="6"/>
  <c r="M14" i="8"/>
  <c r="M16" i="8"/>
  <c r="M18" i="8"/>
  <c r="M20" i="8"/>
  <c r="M21" i="8"/>
  <c r="M25" i="8"/>
  <c r="J27" i="8"/>
  <c r="H33" i="10" s="1"/>
  <c r="I33" i="10" s="1"/>
  <c r="J23" i="8"/>
  <c r="H29" i="10" s="1"/>
  <c r="I29" i="10" s="1"/>
  <c r="M28" i="6"/>
  <c r="P28" i="6" s="1"/>
  <c r="J56" i="8"/>
  <c r="J57" i="8" s="1"/>
  <c r="M65" i="6"/>
  <c r="M67" i="6"/>
  <c r="M55" i="6"/>
  <c r="M56" i="6"/>
  <c r="M57" i="6"/>
  <c r="M58" i="6"/>
  <c r="P57" i="6" l="1"/>
  <c r="H260" i="10"/>
  <c r="P56" i="6"/>
  <c r="H259" i="10"/>
  <c r="P55" i="6"/>
  <c r="H258" i="10"/>
  <c r="P58" i="6"/>
  <c r="H261" i="10"/>
  <c r="M27" i="8"/>
  <c r="M23" i="8"/>
  <c r="M11" i="6" l="1"/>
  <c r="M13" i="6"/>
  <c r="M14" i="6"/>
  <c r="M15" i="6"/>
  <c r="M16" i="6"/>
  <c r="M17" i="6"/>
  <c r="M18" i="6"/>
  <c r="P18" i="6" s="1"/>
  <c r="M19" i="6"/>
  <c r="P19" i="6" s="1"/>
  <c r="M20" i="6"/>
  <c r="P20" i="6" s="1"/>
  <c r="M21" i="6"/>
  <c r="P21" i="6" s="1"/>
  <c r="M22" i="6"/>
  <c r="P22" i="6" s="1"/>
  <c r="P16" i="6" l="1"/>
  <c r="H90" i="10"/>
  <c r="P12" i="6"/>
  <c r="H86" i="10"/>
  <c r="P14" i="6"/>
  <c r="H88" i="10"/>
  <c r="P17" i="6"/>
  <c r="H91" i="10"/>
  <c r="P13" i="6"/>
  <c r="H87" i="10"/>
  <c r="P15" i="6"/>
  <c r="H89" i="10"/>
  <c r="P11" i="6"/>
  <c r="H85" i="10"/>
  <c r="M59" i="6"/>
  <c r="P59" i="6" s="1"/>
  <c r="J55" i="8"/>
  <c r="K69" i="6" l="1"/>
  <c r="H45" i="8"/>
  <c r="H44" i="33"/>
  <c r="H89" i="33"/>
  <c r="H21" i="33"/>
  <c r="F64" i="1" l="1"/>
  <c r="M21" i="10" l="1"/>
  <c r="N21" i="10"/>
  <c r="I61" i="1"/>
  <c r="L61" i="1" l="1"/>
  <c r="G61" i="1"/>
  <c r="M61" i="1"/>
  <c r="N61" i="1" l="1"/>
  <c r="O61" i="1" s="1"/>
  <c r="G253" i="10" l="1"/>
  <c r="E253" i="10"/>
  <c r="D253" i="10"/>
  <c r="C253" i="10"/>
  <c r="B253" i="10"/>
  <c r="B285" i="10"/>
  <c r="C285" i="10"/>
  <c r="D285" i="10"/>
  <c r="E285" i="10"/>
  <c r="G285" i="10"/>
  <c r="H285" i="10"/>
  <c r="I285" i="10" s="1"/>
  <c r="G284" i="10"/>
  <c r="E284" i="10"/>
  <c r="D284" i="10"/>
  <c r="C284" i="10"/>
  <c r="B284" i="10"/>
  <c r="M253" i="10" l="1"/>
  <c r="H284" i="10" l="1"/>
  <c r="I284" i="10" s="1"/>
  <c r="G279" i="10"/>
  <c r="E279" i="10"/>
  <c r="D279" i="10"/>
  <c r="C279" i="10"/>
  <c r="B279" i="10"/>
  <c r="N279" i="10" s="1"/>
  <c r="H267" i="10"/>
  <c r="I267" i="10" s="1"/>
  <c r="G267" i="10"/>
  <c r="E267" i="10"/>
  <c r="D267" i="10"/>
  <c r="C267" i="10"/>
  <c r="B267" i="10"/>
  <c r="N267" i="10" s="1"/>
  <c r="B252" i="10"/>
  <c r="C252" i="10"/>
  <c r="D252" i="10"/>
  <c r="E252" i="10"/>
  <c r="G252" i="10"/>
  <c r="B187" i="10"/>
  <c r="C187" i="10"/>
  <c r="D187" i="10"/>
  <c r="E187" i="10"/>
  <c r="G187" i="10"/>
  <c r="B155" i="10"/>
  <c r="C155" i="10"/>
  <c r="D155" i="10"/>
  <c r="E155" i="10"/>
  <c r="G155" i="10"/>
  <c r="H155" i="10"/>
  <c r="B156" i="10"/>
  <c r="C156" i="10"/>
  <c r="D156" i="10"/>
  <c r="E156" i="10"/>
  <c r="G156" i="10"/>
  <c r="B157" i="10"/>
  <c r="C157" i="10"/>
  <c r="D157" i="10"/>
  <c r="E157" i="10"/>
  <c r="G157" i="10"/>
  <c r="B158" i="10"/>
  <c r="C158" i="10"/>
  <c r="D158" i="10"/>
  <c r="E158" i="10"/>
  <c r="G158" i="10"/>
  <c r="B159" i="10"/>
  <c r="C159" i="10"/>
  <c r="D159" i="10"/>
  <c r="E159" i="10"/>
  <c r="G159" i="10"/>
  <c r="G133" i="10"/>
  <c r="E133" i="10"/>
  <c r="D133" i="10"/>
  <c r="C133" i="10"/>
  <c r="B133" i="10"/>
  <c r="G129" i="10"/>
  <c r="E129" i="10"/>
  <c r="D129" i="10"/>
  <c r="C129" i="10"/>
  <c r="B129" i="10"/>
  <c r="G116" i="10"/>
  <c r="E116" i="10"/>
  <c r="D116" i="10"/>
  <c r="C116" i="10"/>
  <c r="B116" i="10"/>
  <c r="N116" i="10" s="1"/>
  <c r="N232" i="10" l="1"/>
  <c r="M267" i="10"/>
  <c r="M232" i="10"/>
  <c r="I232" i="10"/>
  <c r="M48" i="6"/>
  <c r="M26" i="8" l="1"/>
  <c r="J24" i="8"/>
  <c r="J22" i="8"/>
  <c r="J19" i="8"/>
  <c r="M15" i="8"/>
  <c r="M62" i="6"/>
  <c r="P62" i="6" s="1"/>
  <c r="M63" i="6"/>
  <c r="P63" i="6" s="1"/>
  <c r="M54" i="6"/>
  <c r="M36" i="6"/>
  <c r="P36" i="6" s="1"/>
  <c r="M30" i="6"/>
  <c r="P30" i="6" s="1"/>
  <c r="M31" i="6"/>
  <c r="P31" i="6" s="1"/>
  <c r="M32" i="6"/>
  <c r="P32" i="6" s="1"/>
  <c r="M33" i="6"/>
  <c r="P33" i="6" s="1"/>
  <c r="M34" i="6"/>
  <c r="P34" i="6" s="1"/>
  <c r="M35" i="6"/>
  <c r="P35" i="6" s="1"/>
  <c r="M29" i="6"/>
  <c r="P29" i="6" s="1"/>
  <c r="M27" i="6"/>
  <c r="P27" i="6" s="1"/>
  <c r="P9" i="6"/>
  <c r="M24" i="8" l="1"/>
  <c r="H30" i="10"/>
  <c r="I30" i="10" s="1"/>
  <c r="M19" i="8"/>
  <c r="H25" i="10"/>
  <c r="I25" i="10" s="1"/>
  <c r="M22" i="8"/>
  <c r="H28" i="10"/>
  <c r="I28" i="10" s="1"/>
  <c r="P54" i="6"/>
  <c r="H257" i="10"/>
  <c r="M50" i="6"/>
  <c r="H279" i="10"/>
  <c r="H116" i="10"/>
  <c r="H133" i="10"/>
  <c r="H159" i="10"/>
  <c r="H129" i="10"/>
  <c r="H157" i="10"/>
  <c r="H187" i="10"/>
  <c r="M49" i="6" l="1"/>
  <c r="P49" i="6" s="1"/>
  <c r="P50" i="6"/>
  <c r="H253" i="10"/>
  <c r="M279" i="10"/>
  <c r="I279" i="10"/>
  <c r="I116" i="10"/>
  <c r="M116" i="10"/>
  <c r="L79" i="1"/>
  <c r="H252" i="10" l="1"/>
  <c r="F66" i="1"/>
  <c r="I253" i="10"/>
  <c r="N253" i="10"/>
  <c r="J17" i="8" l="1"/>
  <c r="J10" i="8"/>
  <c r="M10" i="8" s="1"/>
  <c r="M17" i="8" l="1"/>
  <c r="H23" i="10"/>
  <c r="I23" i="10" s="1"/>
  <c r="G16" i="10"/>
  <c r="E16" i="10"/>
  <c r="D16" i="10"/>
  <c r="C16" i="10"/>
  <c r="B16" i="10"/>
  <c r="H251" i="10"/>
  <c r="G251" i="10"/>
  <c r="E251" i="10"/>
  <c r="D251" i="10"/>
  <c r="C251" i="10"/>
  <c r="B251" i="10"/>
  <c r="N251" i="10" s="1"/>
  <c r="I114" i="10"/>
  <c r="N16" i="10" l="1"/>
  <c r="O16" i="10"/>
  <c r="O42" i="10" s="1"/>
  <c r="O297" i="10" s="1"/>
  <c r="P16" i="10"/>
  <c r="P42" i="10" s="1"/>
  <c r="P297" i="10" s="1"/>
  <c r="I251" i="10"/>
  <c r="M251" i="10"/>
  <c r="M42" i="6" l="1"/>
  <c r="M26" i="6"/>
  <c r="P26" i="6" s="1"/>
  <c r="M24" i="6"/>
  <c r="P24" i="6" s="1"/>
  <c r="H16" i="10"/>
  <c r="J58" i="8"/>
  <c r="P42" i="6" l="1"/>
  <c r="H229" i="10"/>
  <c r="H156" i="10"/>
  <c r="H158" i="10"/>
  <c r="N26" i="10"/>
  <c r="I187" i="10"/>
  <c r="I188" i="10"/>
  <c r="I189" i="10"/>
  <c r="B266" i="10"/>
  <c r="M266" i="10" s="1"/>
  <c r="C266" i="10"/>
  <c r="D266" i="10"/>
  <c r="E266" i="10"/>
  <c r="G266" i="10"/>
  <c r="N25" i="10"/>
  <c r="M26" i="10"/>
  <c r="M27" i="10"/>
  <c r="N27" i="10"/>
  <c r="M28" i="10"/>
  <c r="N28" i="10"/>
  <c r="M29" i="10"/>
  <c r="N29" i="10"/>
  <c r="M30" i="10"/>
  <c r="N30" i="10"/>
  <c r="M31" i="10"/>
  <c r="N31" i="10"/>
  <c r="M32" i="10"/>
  <c r="N32" i="10"/>
  <c r="M33" i="10"/>
  <c r="N33" i="10"/>
  <c r="M34" i="10"/>
  <c r="N34" i="10"/>
  <c r="M35" i="10"/>
  <c r="N35" i="10"/>
  <c r="M36" i="10"/>
  <c r="N36" i="10"/>
  <c r="M37" i="10"/>
  <c r="N37" i="10"/>
  <c r="M38" i="10"/>
  <c r="N38" i="10"/>
  <c r="M39" i="10"/>
  <c r="N39" i="10"/>
  <c r="M40" i="10"/>
  <c r="N40" i="10"/>
  <c r="M41" i="10"/>
  <c r="N41" i="10"/>
  <c r="M46" i="10"/>
  <c r="N46" i="10"/>
  <c r="M47" i="10"/>
  <c r="N47" i="10"/>
  <c r="M48" i="10"/>
  <c r="N48" i="10"/>
  <c r="M49" i="10"/>
  <c r="N49" i="10"/>
  <c r="M50" i="10"/>
  <c r="N50" i="10"/>
  <c r="M51" i="10"/>
  <c r="N51" i="10"/>
  <c r="M52" i="10"/>
  <c r="N52" i="10"/>
  <c r="M53" i="10"/>
  <c r="N53" i="10"/>
  <c r="M54" i="10"/>
  <c r="N54" i="10"/>
  <c r="M55" i="10"/>
  <c r="N55" i="10"/>
  <c r="M56" i="10"/>
  <c r="N56" i="10"/>
  <c r="M57" i="10"/>
  <c r="N57" i="10"/>
  <c r="M58" i="10"/>
  <c r="N58" i="10"/>
  <c r="M59" i="10"/>
  <c r="N59" i="10"/>
  <c r="M60" i="10"/>
  <c r="N60" i="10"/>
  <c r="M61" i="10"/>
  <c r="N61" i="10"/>
  <c r="M62" i="10"/>
  <c r="N62" i="10"/>
  <c r="M63" i="10"/>
  <c r="N63" i="10"/>
  <c r="M64" i="10"/>
  <c r="N64" i="10"/>
  <c r="M65" i="10"/>
  <c r="N65" i="10"/>
  <c r="M66" i="10"/>
  <c r="N66" i="10"/>
  <c r="M67" i="10"/>
  <c r="N67" i="10"/>
  <c r="M68" i="10"/>
  <c r="N68" i="10"/>
  <c r="M69" i="10"/>
  <c r="N69" i="10"/>
  <c r="M70" i="10"/>
  <c r="N70" i="10"/>
  <c r="M71" i="10"/>
  <c r="N71" i="10"/>
  <c r="M72" i="10"/>
  <c r="N72" i="10"/>
  <c r="N73" i="10"/>
  <c r="N74" i="10"/>
  <c r="N75" i="10"/>
  <c r="N76" i="10"/>
  <c r="N77" i="10"/>
  <c r="N78" i="10"/>
  <c r="N80" i="10"/>
  <c r="N81" i="10"/>
  <c r="M82" i="10"/>
  <c r="N82" i="10"/>
  <c r="M90" i="10"/>
  <c r="N90" i="10"/>
  <c r="M91" i="10"/>
  <c r="N91" i="10"/>
  <c r="M92" i="10"/>
  <c r="N92" i="10"/>
  <c r="M93" i="10"/>
  <c r="N93" i="10"/>
  <c r="M94" i="10"/>
  <c r="N94" i="10"/>
  <c r="M95" i="10"/>
  <c r="N95" i="10"/>
  <c r="M96" i="10"/>
  <c r="N96" i="10"/>
  <c r="M97" i="10"/>
  <c r="N97" i="10"/>
  <c r="M98" i="10"/>
  <c r="N98" i="10"/>
  <c r="M99" i="10"/>
  <c r="N99" i="10"/>
  <c r="M100" i="10"/>
  <c r="N100" i="10"/>
  <c r="M101" i="10"/>
  <c r="N101" i="10"/>
  <c r="M102" i="10"/>
  <c r="N102" i="10"/>
  <c r="M103" i="10"/>
  <c r="N103" i="10"/>
  <c r="M104" i="10"/>
  <c r="N104" i="10"/>
  <c r="M105" i="10"/>
  <c r="N105" i="10"/>
  <c r="M106" i="10"/>
  <c r="N106" i="10"/>
  <c r="M107" i="10"/>
  <c r="N107" i="10"/>
  <c r="N108" i="10"/>
  <c r="N109" i="10"/>
  <c r="N110" i="10"/>
  <c r="N111" i="10"/>
  <c r="N112" i="10"/>
  <c r="N113" i="10"/>
  <c r="M114" i="10"/>
  <c r="N114" i="10"/>
  <c r="M117" i="10"/>
  <c r="N117" i="10"/>
  <c r="M118" i="10"/>
  <c r="N118" i="10"/>
  <c r="M119" i="10"/>
  <c r="N119" i="10"/>
  <c r="N120" i="10"/>
  <c r="N121" i="10"/>
  <c r="N122" i="10"/>
  <c r="N123" i="10"/>
  <c r="N124" i="10"/>
  <c r="N125" i="10"/>
  <c r="M126" i="10"/>
  <c r="N126" i="10"/>
  <c r="M127" i="10"/>
  <c r="N127" i="10"/>
  <c r="M128" i="10"/>
  <c r="N128" i="10"/>
  <c r="M129" i="10"/>
  <c r="N129" i="10"/>
  <c r="M130" i="10"/>
  <c r="N130" i="10"/>
  <c r="M131" i="10"/>
  <c r="N131" i="10"/>
  <c r="M132" i="10"/>
  <c r="N132" i="10"/>
  <c r="M133" i="10"/>
  <c r="N133" i="10"/>
  <c r="M135" i="10"/>
  <c r="N135" i="10"/>
  <c r="M136" i="10"/>
  <c r="N136" i="10"/>
  <c r="M137" i="10"/>
  <c r="N137" i="10"/>
  <c r="M139" i="10"/>
  <c r="N139" i="10"/>
  <c r="M140" i="10"/>
  <c r="N140" i="10"/>
  <c r="M141" i="10"/>
  <c r="N141" i="10"/>
  <c r="M142" i="10"/>
  <c r="N142" i="10"/>
  <c r="M143" i="10"/>
  <c r="N143" i="10"/>
  <c r="M144" i="10"/>
  <c r="N144" i="10"/>
  <c r="M145" i="10"/>
  <c r="N145" i="10"/>
  <c r="M146" i="10"/>
  <c r="N146" i="10"/>
  <c r="M147" i="10"/>
  <c r="N147" i="10"/>
  <c r="M148" i="10"/>
  <c r="N148" i="10"/>
  <c r="M149" i="10"/>
  <c r="N149" i="10"/>
  <c r="M150" i="10"/>
  <c r="N150" i="10"/>
  <c r="M151" i="10"/>
  <c r="N151" i="10"/>
  <c r="M152" i="10"/>
  <c r="N152" i="10"/>
  <c r="M153" i="10"/>
  <c r="N153" i="10"/>
  <c r="M159" i="10"/>
  <c r="N159" i="10"/>
  <c r="M160" i="10"/>
  <c r="N160" i="10"/>
  <c r="M161" i="10"/>
  <c r="N161" i="10"/>
  <c r="M162" i="10"/>
  <c r="N162" i="10"/>
  <c r="M163" i="10"/>
  <c r="N163" i="10"/>
  <c r="M164" i="10"/>
  <c r="N164" i="10"/>
  <c r="M165" i="10"/>
  <c r="N165" i="10"/>
  <c r="M166" i="10"/>
  <c r="N166" i="10"/>
  <c r="M167" i="10"/>
  <c r="N167" i="10"/>
  <c r="M168" i="10"/>
  <c r="N168" i="10"/>
  <c r="M169" i="10"/>
  <c r="N169" i="10"/>
  <c r="M170" i="10"/>
  <c r="N170" i="10"/>
  <c r="M171" i="10"/>
  <c r="N171" i="10"/>
  <c r="N172" i="10"/>
  <c r="N173" i="10"/>
  <c r="N174" i="10"/>
  <c r="N175" i="10"/>
  <c r="N176" i="10"/>
  <c r="N177" i="10"/>
  <c r="N178" i="10"/>
  <c r="M179" i="10"/>
  <c r="N179" i="10"/>
  <c r="M180" i="10"/>
  <c r="N180" i="10"/>
  <c r="M187" i="10"/>
  <c r="N187" i="10"/>
  <c r="M188" i="10"/>
  <c r="N188" i="10"/>
  <c r="M189" i="10"/>
  <c r="N189" i="10"/>
  <c r="M190" i="10"/>
  <c r="N190" i="10"/>
  <c r="M191" i="10"/>
  <c r="N191" i="10"/>
  <c r="M192" i="10"/>
  <c r="N192" i="10"/>
  <c r="M194" i="10"/>
  <c r="N194" i="10"/>
  <c r="M195" i="10"/>
  <c r="N195" i="10"/>
  <c r="M196" i="10"/>
  <c r="N196" i="10"/>
  <c r="M197" i="10"/>
  <c r="N197" i="10"/>
  <c r="M198" i="10"/>
  <c r="N198" i="10"/>
  <c r="N201" i="10"/>
  <c r="M202" i="10"/>
  <c r="N202" i="10"/>
  <c r="M203" i="10"/>
  <c r="N203" i="10"/>
  <c r="M204" i="10"/>
  <c r="N204" i="10"/>
  <c r="M205" i="10"/>
  <c r="N205" i="10"/>
  <c r="M206" i="10"/>
  <c r="N206" i="10"/>
  <c r="M207" i="10"/>
  <c r="N207" i="10"/>
  <c r="M208" i="10"/>
  <c r="N208" i="10"/>
  <c r="M209" i="10"/>
  <c r="N209" i="10"/>
  <c r="M210" i="10"/>
  <c r="N210" i="10"/>
  <c r="M211" i="10"/>
  <c r="N211" i="10"/>
  <c r="M212" i="10"/>
  <c r="N212" i="10"/>
  <c r="M213" i="10"/>
  <c r="N213" i="10"/>
  <c r="M214" i="10"/>
  <c r="N214" i="10"/>
  <c r="M215" i="10"/>
  <c r="N215" i="10"/>
  <c r="M216" i="10"/>
  <c r="N216" i="10"/>
  <c r="M217" i="10"/>
  <c r="N217" i="10"/>
  <c r="M218" i="10"/>
  <c r="N218" i="10"/>
  <c r="M219" i="10"/>
  <c r="N219" i="10"/>
  <c r="M220" i="10"/>
  <c r="N220" i="10"/>
  <c r="M221" i="10"/>
  <c r="N221" i="10"/>
  <c r="N222" i="10"/>
  <c r="N223" i="10"/>
  <c r="N224" i="10"/>
  <c r="N225" i="10"/>
  <c r="N226" i="10"/>
  <c r="N227" i="10"/>
  <c r="M234" i="10"/>
  <c r="N234" i="10"/>
  <c r="M235" i="10"/>
  <c r="N235" i="10"/>
  <c r="M236" i="10"/>
  <c r="N236" i="10"/>
  <c r="M237" i="10"/>
  <c r="N237" i="10"/>
  <c r="M238" i="10"/>
  <c r="N238" i="10"/>
  <c r="M239" i="10"/>
  <c r="N239" i="10"/>
  <c r="M240" i="10"/>
  <c r="N240" i="10"/>
  <c r="M241" i="10"/>
  <c r="N241" i="10"/>
  <c r="M242" i="10"/>
  <c r="N242" i="10"/>
  <c r="M243" i="10"/>
  <c r="N243" i="10"/>
  <c r="M244" i="10"/>
  <c r="N244" i="10"/>
  <c r="N245" i="10"/>
  <c r="N246" i="10"/>
  <c r="N247" i="10"/>
  <c r="N248" i="10"/>
  <c r="N249" i="10"/>
  <c r="N250" i="10"/>
  <c r="M260" i="10"/>
  <c r="N260" i="10"/>
  <c r="M261" i="10"/>
  <c r="N261" i="10"/>
  <c r="M262" i="10"/>
  <c r="N262" i="10"/>
  <c r="M263" i="10"/>
  <c r="N263" i="10"/>
  <c r="M264" i="10"/>
  <c r="N264" i="10"/>
  <c r="M268" i="10"/>
  <c r="N268" i="10"/>
  <c r="M269" i="10"/>
  <c r="N269" i="10"/>
  <c r="M270" i="10"/>
  <c r="N270" i="10"/>
  <c r="M271" i="10"/>
  <c r="N271" i="10"/>
  <c r="M272" i="10"/>
  <c r="N272" i="10"/>
  <c r="M273" i="10"/>
  <c r="N273" i="10"/>
  <c r="M274" i="10"/>
  <c r="N274" i="10"/>
  <c r="M275" i="10"/>
  <c r="N275" i="10"/>
  <c r="M276" i="10"/>
  <c r="N276" i="10"/>
  <c r="M277" i="10"/>
  <c r="N277" i="10"/>
  <c r="M280" i="10"/>
  <c r="N280" i="10"/>
  <c r="M281" i="10"/>
  <c r="N281" i="10"/>
  <c r="M282" i="10"/>
  <c r="N282" i="10"/>
  <c r="M283" i="10"/>
  <c r="N283" i="10"/>
  <c r="M284" i="10"/>
  <c r="N284" i="10"/>
  <c r="M285" i="10"/>
  <c r="N285" i="10"/>
  <c r="M286" i="10"/>
  <c r="N286" i="10"/>
  <c r="M287" i="10"/>
  <c r="N287" i="10"/>
  <c r="M288" i="10"/>
  <c r="N288" i="10"/>
  <c r="M289" i="10"/>
  <c r="N289" i="10"/>
  <c r="M290" i="10"/>
  <c r="N290" i="10"/>
  <c r="M291" i="10"/>
  <c r="N291" i="10"/>
  <c r="M292" i="10"/>
  <c r="N292" i="10"/>
  <c r="M293" i="10"/>
  <c r="N293" i="10"/>
  <c r="M294" i="10"/>
  <c r="N294" i="10"/>
  <c r="G278" i="10" l="1"/>
  <c r="E278" i="10"/>
  <c r="D278" i="10"/>
  <c r="C278" i="10"/>
  <c r="B278" i="10"/>
  <c r="G265" i="10"/>
  <c r="E265" i="10"/>
  <c r="D265" i="10"/>
  <c r="C265" i="10"/>
  <c r="B265" i="10"/>
  <c r="G199" i="10"/>
  <c r="E199" i="10"/>
  <c r="D199" i="10"/>
  <c r="C199" i="10"/>
  <c r="B199" i="10"/>
  <c r="B193" i="10"/>
  <c r="C193" i="10"/>
  <c r="D193" i="10"/>
  <c r="E193" i="10"/>
  <c r="G193" i="10"/>
  <c r="G181" i="10"/>
  <c r="E181" i="10"/>
  <c r="D181" i="10"/>
  <c r="C181" i="10"/>
  <c r="B181" i="10"/>
  <c r="B182" i="10"/>
  <c r="C182" i="10"/>
  <c r="D182" i="10"/>
  <c r="E182" i="10"/>
  <c r="G182" i="10"/>
  <c r="B183" i="10"/>
  <c r="C183" i="10"/>
  <c r="D183" i="10"/>
  <c r="E183" i="10"/>
  <c r="G183" i="10"/>
  <c r="G154" i="10"/>
  <c r="E154" i="10"/>
  <c r="D154" i="10"/>
  <c r="C154" i="10"/>
  <c r="B154" i="10"/>
  <c r="G138" i="10"/>
  <c r="E138" i="10"/>
  <c r="D138" i="10"/>
  <c r="C138" i="10"/>
  <c r="B138" i="10"/>
  <c r="G115" i="10"/>
  <c r="E115" i="10"/>
  <c r="D115" i="10"/>
  <c r="C115" i="10"/>
  <c r="B115" i="10"/>
  <c r="I229" i="10"/>
  <c r="M37" i="6"/>
  <c r="P37" i="6" s="1"/>
  <c r="H183" i="10"/>
  <c r="I183" i="10" s="1"/>
  <c r="H154" i="10"/>
  <c r="I154" i="10" s="1"/>
  <c r="I155" i="10"/>
  <c r="I156" i="10"/>
  <c r="M25" i="10" l="1"/>
  <c r="H193" i="10"/>
  <c r="H196" i="10" s="1"/>
  <c r="H138" i="10"/>
  <c r="M138" i="10" s="1"/>
  <c r="H115" i="10"/>
  <c r="M115" i="10" s="1"/>
  <c r="N182" i="10"/>
  <c r="N138" i="10"/>
  <c r="M155" i="10"/>
  <c r="N155" i="10"/>
  <c r="N181" i="10"/>
  <c r="N199" i="10"/>
  <c r="N265" i="10"/>
  <c r="M183" i="10"/>
  <c r="N183" i="10"/>
  <c r="N193" i="10"/>
  <c r="N115" i="10"/>
  <c r="N134" i="10"/>
  <c r="M156" i="10"/>
  <c r="N156" i="10"/>
  <c r="M154" i="10"/>
  <c r="N154" i="10"/>
  <c r="M229" i="10"/>
  <c r="N229" i="10"/>
  <c r="N278" i="10"/>
  <c r="M193" i="10" l="1"/>
  <c r="I115" i="10"/>
  <c r="M134" i="10"/>
  <c r="M38" i="6" l="1"/>
  <c r="P38" i="6" s="1"/>
  <c r="I28" i="1"/>
  <c r="A28" i="1"/>
  <c r="H199" i="10" l="1"/>
  <c r="L28" i="1"/>
  <c r="G28" i="1"/>
  <c r="M28" i="1"/>
  <c r="B186" i="10"/>
  <c r="C186" i="10"/>
  <c r="D186" i="10"/>
  <c r="E186" i="10"/>
  <c r="G186" i="10"/>
  <c r="I16" i="10"/>
  <c r="M16" i="10" l="1"/>
  <c r="N200" i="10"/>
  <c r="N252" i="10"/>
  <c r="N256" i="10"/>
  <c r="N230" i="10"/>
  <c r="N259" i="10"/>
  <c r="N255" i="10"/>
  <c r="M233" i="10"/>
  <c r="N258" i="10"/>
  <c r="N254" i="10"/>
  <c r="I199" i="10"/>
  <c r="M199" i="10"/>
  <c r="N186" i="10"/>
  <c r="N231" i="10"/>
  <c r="N257" i="10"/>
  <c r="N28" i="1"/>
  <c r="O28" i="1" s="1"/>
  <c r="M259" i="10"/>
  <c r="M258" i="10"/>
  <c r="M257" i="10"/>
  <c r="M256" i="10"/>
  <c r="M255" i="10"/>
  <c r="M254" i="10"/>
  <c r="N233" i="10"/>
  <c r="M231" i="10"/>
  <c r="M43" i="6"/>
  <c r="H186" i="10"/>
  <c r="I186" i="10" s="1"/>
  <c r="H182" i="10"/>
  <c r="I138" i="10"/>
  <c r="P43" i="6" l="1"/>
  <c r="H230" i="10"/>
  <c r="H278" i="10"/>
  <c r="H181" i="10"/>
  <c r="I182" i="10"/>
  <c r="M182" i="10"/>
  <c r="M186" i="10"/>
  <c r="M252" i="10" l="1"/>
  <c r="M230" i="10"/>
  <c r="I278" i="10"/>
  <c r="M278" i="10"/>
  <c r="I181" i="10"/>
  <c r="M181" i="10"/>
  <c r="B184" i="10" l="1"/>
  <c r="C184" i="10"/>
  <c r="D184" i="10"/>
  <c r="E184" i="10"/>
  <c r="G184" i="10"/>
  <c r="B185" i="10"/>
  <c r="C185" i="10"/>
  <c r="D185" i="10"/>
  <c r="E185" i="10"/>
  <c r="G185" i="10"/>
  <c r="I95" i="10"/>
  <c r="I97" i="10"/>
  <c r="I99" i="10"/>
  <c r="I101" i="10"/>
  <c r="I102" i="10"/>
  <c r="I100" i="10"/>
  <c r="I98" i="10"/>
  <c r="I96" i="10"/>
  <c r="I94" i="10"/>
  <c r="G83" i="10"/>
  <c r="E83" i="10"/>
  <c r="D83" i="10"/>
  <c r="C83" i="10"/>
  <c r="B83" i="10"/>
  <c r="N86" i="10" l="1"/>
  <c r="N157" i="10"/>
  <c r="N89" i="10"/>
  <c r="N85" i="10"/>
  <c r="N185" i="10"/>
  <c r="N88" i="10"/>
  <c r="N84" i="10"/>
  <c r="N184" i="10"/>
  <c r="N83" i="10"/>
  <c r="N87" i="10"/>
  <c r="N158" i="10"/>
  <c r="H184" i="10"/>
  <c r="M184" i="10" s="1"/>
  <c r="H185" i="10"/>
  <c r="I185" i="10" s="1"/>
  <c r="I85" i="10"/>
  <c r="I86" i="10"/>
  <c r="I87" i="10"/>
  <c r="I88" i="10"/>
  <c r="M89" i="10"/>
  <c r="M87" i="10" l="1"/>
  <c r="M84" i="10"/>
  <c r="M88" i="10"/>
  <c r="M85" i="10"/>
  <c r="M157" i="10"/>
  <c r="M185" i="10"/>
  <c r="M86" i="10"/>
  <c r="I184" i="10"/>
  <c r="I89" i="10"/>
  <c r="F26" i="1"/>
  <c r="F29" i="1"/>
  <c r="M158" i="10" l="1"/>
  <c r="H170" i="10"/>
  <c r="M60" i="1" l="1"/>
  <c r="L60" i="1"/>
  <c r="I60" i="1"/>
  <c r="G60" i="1"/>
  <c r="M62" i="1"/>
  <c r="L62" i="1"/>
  <c r="I62" i="1"/>
  <c r="G62" i="1"/>
  <c r="M63" i="1"/>
  <c r="L63" i="1"/>
  <c r="I63" i="1"/>
  <c r="G63" i="1"/>
  <c r="M64" i="1"/>
  <c r="L64" i="1"/>
  <c r="I64" i="1"/>
  <c r="G64" i="1"/>
  <c r="I17" i="1"/>
  <c r="I16" i="1"/>
  <c r="I18" i="1"/>
  <c r="N60" i="1" l="1"/>
  <c r="O60" i="1" s="1"/>
  <c r="N62" i="1"/>
  <c r="O62" i="1" s="1"/>
  <c r="N64" i="1"/>
  <c r="O64" i="1" s="1"/>
  <c r="N63" i="1"/>
  <c r="O63" i="1" s="1"/>
  <c r="L17" i="1"/>
  <c r="G17" i="1"/>
  <c r="M17" i="1"/>
  <c r="L16" i="1"/>
  <c r="G16" i="1"/>
  <c r="M16" i="1"/>
  <c r="L18" i="1"/>
  <c r="G18" i="1"/>
  <c r="M18" i="1"/>
  <c r="N17" i="1" l="1"/>
  <c r="O17" i="1" s="1"/>
  <c r="N16" i="1"/>
  <c r="O16" i="1" s="1"/>
  <c r="N18" i="1"/>
  <c r="O18" i="1" s="1"/>
  <c r="O88" i="1"/>
  <c r="I69" i="10"/>
  <c r="I59" i="1"/>
  <c r="L59" i="1" l="1"/>
  <c r="G59" i="1"/>
  <c r="M59" i="1"/>
  <c r="N59" i="1" l="1"/>
  <c r="O59" i="1" s="1"/>
  <c r="M84" i="1" l="1"/>
  <c r="M85" i="1"/>
  <c r="M86" i="1"/>
  <c r="M100" i="1"/>
  <c r="M101" i="1"/>
  <c r="M102" i="1"/>
  <c r="M103" i="1"/>
  <c r="J110" i="1"/>
  <c r="E110" i="1"/>
  <c r="M107" i="1"/>
  <c r="F108" i="1"/>
  <c r="M106" i="1"/>
  <c r="F81" i="1"/>
  <c r="G81" i="1" s="1"/>
  <c r="G80" i="1"/>
  <c r="G79" i="1"/>
  <c r="G74" i="1"/>
  <c r="G73" i="1"/>
  <c r="J66" i="1"/>
  <c r="G103" i="1"/>
  <c r="G102" i="1"/>
  <c r="G101" i="1"/>
  <c r="G100" i="1"/>
  <c r="G89" i="1"/>
  <c r="G86" i="1"/>
  <c r="G85" i="1"/>
  <c r="G84" i="1"/>
  <c r="G77" i="1"/>
  <c r="G14" i="1"/>
  <c r="G42" i="1"/>
  <c r="G26" i="1"/>
  <c r="G27" i="1"/>
  <c r="G29" i="1"/>
  <c r="G30" i="1"/>
  <c r="G31" i="1"/>
  <c r="G32" i="1"/>
  <c r="G33" i="1"/>
  <c r="F23" i="1"/>
  <c r="F24" i="1"/>
  <c r="G24" i="1" s="1"/>
  <c r="F25" i="1"/>
  <c r="G25" i="1" s="1"/>
  <c r="G23" i="1" l="1"/>
  <c r="I106" i="1"/>
  <c r="G78" i="1"/>
  <c r="M108" i="1"/>
  <c r="I107" i="1"/>
  <c r="I108" i="1"/>
  <c r="G107" i="1"/>
  <c r="G108" i="1"/>
  <c r="G106" i="1"/>
  <c r="I152" i="10" l="1"/>
  <c r="M78" i="1"/>
  <c r="M79" i="1"/>
  <c r="I151" i="10" l="1"/>
  <c r="I90" i="10"/>
  <c r="I91" i="10"/>
  <c r="I84" i="10" l="1"/>
  <c r="I92" i="10"/>
  <c r="I157" i="10" l="1"/>
  <c r="I153" i="10"/>
  <c r="I158" i="10"/>
  <c r="A29" i="1" l="1"/>
  <c r="I102" i="1" l="1"/>
  <c r="I80" i="1"/>
  <c r="M32" i="1"/>
  <c r="I32" i="1"/>
  <c r="L32" i="1"/>
  <c r="L80" i="1" l="1"/>
  <c r="M80" i="1"/>
  <c r="N32" i="1"/>
  <c r="O32" i="1" s="1"/>
  <c r="N80" i="1" l="1"/>
  <c r="O80" i="1" s="1"/>
  <c r="I82" i="10" l="1"/>
  <c r="I78" i="1" l="1"/>
  <c r="L78" i="1" l="1"/>
  <c r="N78" i="1" s="1"/>
  <c r="O78" i="1" s="1"/>
  <c r="F109" i="1" l="1"/>
  <c r="F97" i="1"/>
  <c r="G97" i="1" s="1"/>
  <c r="F96" i="1"/>
  <c r="G96" i="1" s="1"/>
  <c r="F93" i="1"/>
  <c r="G93" i="1" s="1"/>
  <c r="F92" i="1"/>
  <c r="G92" i="1" s="1"/>
  <c r="F91" i="1"/>
  <c r="G91" i="1" s="1"/>
  <c r="F90" i="1"/>
  <c r="G90" i="1" s="1"/>
  <c r="G69" i="1"/>
  <c r="G68" i="1"/>
  <c r="G19" i="1"/>
  <c r="G15" i="1"/>
  <c r="G56" i="1"/>
  <c r="G55" i="1"/>
  <c r="G54" i="1"/>
  <c r="G53" i="1"/>
  <c r="G52" i="1"/>
  <c r="G51" i="1"/>
  <c r="G44" i="1"/>
  <c r="G50" i="1"/>
  <c r="G49" i="1"/>
  <c r="G48" i="1"/>
  <c r="G47" i="1"/>
  <c r="G46" i="1"/>
  <c r="G45" i="1"/>
  <c r="G43" i="1"/>
  <c r="F39" i="1"/>
  <c r="G39" i="1" s="1"/>
  <c r="F38" i="1"/>
  <c r="G38" i="1" s="1"/>
  <c r="F37" i="1"/>
  <c r="G37" i="1" s="1"/>
  <c r="F36" i="1"/>
  <c r="G36" i="1" s="1"/>
  <c r="G109" i="1" l="1"/>
  <c r="G110" i="1" s="1"/>
  <c r="I109" i="1"/>
  <c r="I110" i="1" s="1"/>
  <c r="M109" i="1"/>
  <c r="M110" i="1" s="1"/>
  <c r="F110" i="1"/>
  <c r="G72" i="1"/>
  <c r="I72" i="1"/>
  <c r="L72" i="1"/>
  <c r="M72" i="1"/>
  <c r="H108" i="10"/>
  <c r="M108" i="10" s="1"/>
  <c r="G65" i="1"/>
  <c r="G66" i="1" s="1"/>
  <c r="F98" i="1"/>
  <c r="F75" i="1"/>
  <c r="F94" i="1"/>
  <c r="F70" i="1"/>
  <c r="F57" i="1"/>
  <c r="H75" i="10" s="1"/>
  <c r="F87" i="1"/>
  <c r="F82" i="1"/>
  <c r="F34" i="1"/>
  <c r="H74" i="10" s="1"/>
  <c r="F40" i="1"/>
  <c r="F20" i="1"/>
  <c r="H73" i="10" s="1"/>
  <c r="I85" i="1"/>
  <c r="I75" i="10" l="1"/>
  <c r="M75" i="10"/>
  <c r="I74" i="10"/>
  <c r="M74" i="10"/>
  <c r="I111" i="10"/>
  <c r="H120" i="10"/>
  <c r="M120" i="10" s="1"/>
  <c r="I101" i="1"/>
  <c r="M73" i="10" l="1"/>
  <c r="I73" i="10"/>
  <c r="M30" i="8"/>
  <c r="H266" i="10" l="1"/>
  <c r="H319" i="10" s="1"/>
  <c r="P75" i="6"/>
  <c r="I103" i="10"/>
  <c r="H265" i="10" l="1"/>
  <c r="H269" i="10" s="1"/>
  <c r="I266" i="10"/>
  <c r="N266" i="10"/>
  <c r="N295" i="10" s="1"/>
  <c r="I290" i="10"/>
  <c r="I277" i="10"/>
  <c r="I280" i="10"/>
  <c r="I260" i="10"/>
  <c r="I261" i="10"/>
  <c r="I233" i="10"/>
  <c r="I234" i="10"/>
  <c r="I235" i="10"/>
  <c r="I236" i="10"/>
  <c r="I237" i="10"/>
  <c r="I238" i="10"/>
  <c r="I239" i="10"/>
  <c r="I240" i="10"/>
  <c r="I241" i="10"/>
  <c r="I214" i="10"/>
  <c r="I215" i="10"/>
  <c r="I216" i="10"/>
  <c r="I217" i="10"/>
  <c r="I218" i="10"/>
  <c r="I202" i="10"/>
  <c r="I203" i="10"/>
  <c r="I198" i="10"/>
  <c r="I193" i="10"/>
  <c r="I194" i="10"/>
  <c r="I163" i="10"/>
  <c r="I164" i="10"/>
  <c r="I165" i="10"/>
  <c r="I166" i="10"/>
  <c r="I167" i="10"/>
  <c r="I168" i="10"/>
  <c r="I139" i="10"/>
  <c r="I140" i="10"/>
  <c r="I141" i="10"/>
  <c r="I142" i="10"/>
  <c r="I143" i="10"/>
  <c r="I144" i="10"/>
  <c r="I145" i="10"/>
  <c r="I146" i="10"/>
  <c r="I147" i="10"/>
  <c r="I134" i="10"/>
  <c r="I120" i="10"/>
  <c r="I108" i="10"/>
  <c r="I104" i="10"/>
  <c r="M265" i="10" l="1"/>
  <c r="I265" i="10"/>
  <c r="I86" i="1"/>
  <c r="H87" i="1"/>
  <c r="K87" i="1"/>
  <c r="M26" i="1" l="1"/>
  <c r="L26" i="1"/>
  <c r="I26" i="1"/>
  <c r="N26" i="1" l="1"/>
  <c r="M33" i="8" l="1"/>
  <c r="J87" i="1" l="1"/>
  <c r="I313" i="10"/>
  <c r="R313" i="10"/>
  <c r="I289" i="10" l="1"/>
  <c r="M24" i="10" l="1"/>
  <c r="N23" i="10"/>
  <c r="M23" i="10"/>
  <c r="N22" i="10"/>
  <c r="N20" i="10"/>
  <c r="M20" i="10"/>
  <c r="N19" i="10"/>
  <c r="N18" i="10"/>
  <c r="P74" i="6"/>
  <c r="P72" i="6"/>
  <c r="P73" i="6"/>
  <c r="I66" i="10" l="1"/>
  <c r="I39" i="10"/>
  <c r="I40" i="10"/>
  <c r="M22" i="10" l="1"/>
  <c r="I61" i="10" l="1"/>
  <c r="M91" i="1" l="1"/>
  <c r="M92" i="1"/>
  <c r="L91" i="1"/>
  <c r="L92" i="1"/>
  <c r="I91" i="1"/>
  <c r="I92" i="1"/>
  <c r="M90" i="1"/>
  <c r="L30" i="1"/>
  <c r="L31" i="1"/>
  <c r="I33" i="1"/>
  <c r="E94" i="1"/>
  <c r="I103" i="1"/>
  <c r="I100" i="1"/>
  <c r="I31" i="1" l="1"/>
  <c r="M31" i="1"/>
  <c r="E104" i="1"/>
  <c r="E87" i="1"/>
  <c r="I30" i="1"/>
  <c r="J104" i="1"/>
  <c r="H210" i="10" s="1"/>
  <c r="I210" i="10" s="1"/>
  <c r="M30" i="1"/>
  <c r="L33" i="1"/>
  <c r="M33" i="1"/>
  <c r="J75" i="1"/>
  <c r="J82" i="1"/>
  <c r="J34" i="1"/>
  <c r="H225" i="10"/>
  <c r="M225" i="10" s="1"/>
  <c r="I90" i="1"/>
  <c r="L90" i="1"/>
  <c r="I225" i="10" l="1"/>
  <c r="H176" i="10"/>
  <c r="M176" i="10" s="1"/>
  <c r="I176" i="10" l="1"/>
  <c r="H292" i="10" l="1"/>
  <c r="I292" i="10" s="1"/>
  <c r="H83" i="10"/>
  <c r="N24" i="10"/>
  <c r="M83" i="10" l="1"/>
  <c r="I83" i="10"/>
  <c r="I68" i="10"/>
  <c r="P71" i="6"/>
  <c r="I57" i="10"/>
  <c r="I60" i="10"/>
  <c r="I59" i="10" l="1"/>
  <c r="I58" i="10"/>
  <c r="I133" i="10"/>
  <c r="I64" i="10"/>
  <c r="I65" i="10"/>
  <c r="I53" i="10"/>
  <c r="I129" i="10"/>
  <c r="I67" i="10"/>
  <c r="I55" i="10"/>
  <c r="I54" i="10"/>
  <c r="I180" i="10"/>
  <c r="H9" i="10"/>
  <c r="N17" i="10" l="1"/>
  <c r="N42" i="10" s="1"/>
  <c r="N297" i="10" s="1"/>
  <c r="M19" i="10"/>
  <c r="I293" i="10"/>
  <c r="I291" i="10"/>
  <c r="I161" i="10" l="1"/>
  <c r="I56" i="10" l="1"/>
  <c r="H173" i="10" l="1"/>
  <c r="M173" i="10" s="1"/>
  <c r="H172" i="10"/>
  <c r="M172" i="10" s="1"/>
  <c r="I62" i="10" l="1"/>
  <c r="I172" i="10"/>
  <c r="I173" i="10"/>
  <c r="L89" i="1"/>
  <c r="L94" i="1" s="1"/>
  <c r="H249" i="10" s="1"/>
  <c r="M249" i="10" s="1"/>
  <c r="H245" i="10"/>
  <c r="M245" i="10" s="1"/>
  <c r="H222" i="10"/>
  <c r="M222" i="10" s="1"/>
  <c r="M104" i="1"/>
  <c r="H212" i="10" s="1"/>
  <c r="F104" i="1"/>
  <c r="H207" i="10" s="1"/>
  <c r="I22" i="1"/>
  <c r="M77" i="1"/>
  <c r="I245" i="10" l="1"/>
  <c r="I249" i="10"/>
  <c r="I222" i="10"/>
  <c r="I207" i="10"/>
  <c r="I46" i="10"/>
  <c r="M87" i="1"/>
  <c r="H227" i="10" s="1"/>
  <c r="M227" i="10" s="1"/>
  <c r="K108" i="6"/>
  <c r="M28" i="8"/>
  <c r="M32" i="8"/>
  <c r="M35" i="8"/>
  <c r="M38" i="8"/>
  <c r="M39" i="8"/>
  <c r="I227" i="10" l="1"/>
  <c r="P68" i="6"/>
  <c r="P70" i="6"/>
  <c r="I256" i="10" l="1"/>
  <c r="I252" i="10"/>
  <c r="I258" i="10"/>
  <c r="I160" i="10"/>
  <c r="I255" i="10"/>
  <c r="I179" i="10"/>
  <c r="I257" i="10"/>
  <c r="I93" i="10"/>
  <c r="I230" i="10"/>
  <c r="I254" i="10"/>
  <c r="I63" i="10"/>
  <c r="I259" i="10"/>
  <c r="I231" i="10"/>
  <c r="H287" i="10" l="1"/>
  <c r="I287" i="10" l="1"/>
  <c r="I286" i="10" s="1"/>
  <c r="H136" i="10" l="1"/>
  <c r="I136" i="10" s="1"/>
  <c r="H131" i="10"/>
  <c r="I131" i="10" s="1"/>
  <c r="L29" i="1" l="1"/>
  <c r="M31" i="8" l="1"/>
  <c r="M34" i="8"/>
  <c r="I137" i="10" l="1"/>
  <c r="I135" i="10"/>
  <c r="I132" i="10"/>
  <c r="I130" i="10"/>
  <c r="M29" i="1"/>
  <c r="I29" i="1"/>
  <c r="M27" i="1"/>
  <c r="L27" i="1"/>
  <c r="I27" i="1"/>
  <c r="N29" i="1" l="1"/>
  <c r="N27" i="1"/>
  <c r="O29" i="1" l="1"/>
  <c r="M29" i="8" l="1"/>
  <c r="H149" i="10"/>
  <c r="I149" i="10" s="1"/>
  <c r="G87" i="1"/>
  <c r="I269" i="10" l="1"/>
  <c r="I268" i="10" s="1"/>
  <c r="G82" i="1"/>
  <c r="I79" i="1" l="1"/>
  <c r="L8" i="1"/>
  <c r="L9" i="1" s="1"/>
  <c r="L10" i="1" s="1"/>
  <c r="J10" i="1"/>
  <c r="J9" i="1"/>
  <c r="J8" i="1"/>
  <c r="L102" i="1" l="1"/>
  <c r="N102" i="1" s="1"/>
  <c r="O102" i="1" s="1"/>
  <c r="L108" i="1"/>
  <c r="N108" i="1" s="1"/>
  <c r="O108" i="1" s="1"/>
  <c r="L106" i="1"/>
  <c r="N106" i="1" s="1"/>
  <c r="O106" i="1" s="1"/>
  <c r="L107" i="1"/>
  <c r="N107" i="1" s="1"/>
  <c r="O107" i="1" s="1"/>
  <c r="L109" i="1"/>
  <c r="L101" i="1"/>
  <c r="N101" i="1" s="1"/>
  <c r="O101" i="1" s="1"/>
  <c r="L86" i="1"/>
  <c r="N86" i="1" s="1"/>
  <c r="L85" i="1"/>
  <c r="N85" i="1" s="1"/>
  <c r="O85" i="1" s="1"/>
  <c r="L103" i="1"/>
  <c r="L84" i="1"/>
  <c r="L100" i="1"/>
  <c r="L110" i="1" l="1"/>
  <c r="M17" i="10"/>
  <c r="M18" i="10"/>
  <c r="L87" i="1"/>
  <c r="H226" i="10" s="1"/>
  <c r="M226" i="10" s="1"/>
  <c r="L104" i="1"/>
  <c r="H211" i="10" s="1"/>
  <c r="I211" i="10" s="1"/>
  <c r="M42" i="10" l="1"/>
  <c r="H42" i="10"/>
  <c r="H316" i="10" s="1"/>
  <c r="I162" i="10"/>
  <c r="I226" i="10"/>
  <c r="I270" i="10"/>
  <c r="I150" i="10"/>
  <c r="I148" i="10"/>
  <c r="M65" i="1"/>
  <c r="M66" i="1" s="1"/>
  <c r="I24" i="1"/>
  <c r="L23" i="1"/>
  <c r="M73" i="1"/>
  <c r="M22" i="1"/>
  <c r="I89" i="1"/>
  <c r="I94" i="1" s="1"/>
  <c r="H247" i="10" s="1"/>
  <c r="M247" i="10" s="1"/>
  <c r="L81" i="1"/>
  <c r="M74" i="1"/>
  <c r="L65" i="1"/>
  <c r="L66" i="1" s="1"/>
  <c r="H111" i="10"/>
  <c r="M111" i="10" s="1"/>
  <c r="H274" i="10"/>
  <c r="N90" i="1"/>
  <c r="N91" i="1"/>
  <c r="N92" i="1"/>
  <c r="I77" i="1"/>
  <c r="I74" i="1"/>
  <c r="G75" i="1"/>
  <c r="H174" i="10" s="1"/>
  <c r="M174" i="10" s="1"/>
  <c r="L14" i="1"/>
  <c r="M15" i="1"/>
  <c r="I19" i="1"/>
  <c r="L42" i="1"/>
  <c r="L45" i="1"/>
  <c r="I47" i="1"/>
  <c r="M48" i="1"/>
  <c r="I49" i="1"/>
  <c r="M50" i="1"/>
  <c r="I44" i="1"/>
  <c r="I52" i="1"/>
  <c r="M53" i="1"/>
  <c r="L54" i="1"/>
  <c r="M55" i="1"/>
  <c r="M56" i="1"/>
  <c r="M36" i="1"/>
  <c r="I37" i="1"/>
  <c r="I39" i="1"/>
  <c r="L22" i="1"/>
  <c r="I73" i="1"/>
  <c r="I25" i="1"/>
  <c r="L25" i="1"/>
  <c r="M25" i="1"/>
  <c r="N30" i="1"/>
  <c r="N31" i="1"/>
  <c r="N33" i="1"/>
  <c r="E75" i="1"/>
  <c r="P78" i="6"/>
  <c r="P80" i="6"/>
  <c r="P81" i="6"/>
  <c r="P82" i="6"/>
  <c r="P83" i="6"/>
  <c r="P84" i="6"/>
  <c r="P86" i="6"/>
  <c r="P87" i="6"/>
  <c r="P88" i="6"/>
  <c r="P89" i="6"/>
  <c r="P90" i="6"/>
  <c r="P94" i="6"/>
  <c r="P95" i="6"/>
  <c r="P96" i="6"/>
  <c r="P97" i="6"/>
  <c r="P98" i="6"/>
  <c r="P99" i="6"/>
  <c r="P100" i="6"/>
  <c r="P103" i="6"/>
  <c r="B1" i="1"/>
  <c r="P76" i="6"/>
  <c r="P77" i="6"/>
  <c r="P85" i="6"/>
  <c r="P101" i="6"/>
  <c r="A25" i="1"/>
  <c r="A27" i="1"/>
  <c r="A26" i="1"/>
  <c r="A30" i="1"/>
  <c r="A31" i="1"/>
  <c r="A51" i="1"/>
  <c r="A52" i="1" s="1"/>
  <c r="G108" i="6"/>
  <c r="I108" i="6"/>
  <c r="G6" i="1"/>
  <c r="G7" i="1" s="1"/>
  <c r="G8" i="1" s="1"/>
  <c r="G9" i="1" s="1"/>
  <c r="G10" i="1" s="1"/>
  <c r="A37" i="1"/>
  <c r="A19" i="1"/>
  <c r="A58" i="1"/>
  <c r="A54" i="1"/>
  <c r="A45" i="1"/>
  <c r="A40" i="1"/>
  <c r="I274" i="10" l="1"/>
  <c r="I42" i="10"/>
  <c r="I41" i="10" s="1"/>
  <c r="H272" i="10"/>
  <c r="H109" i="10"/>
  <c r="M109" i="10" s="1"/>
  <c r="H112" i="10"/>
  <c r="M112" i="10" s="1"/>
  <c r="H113" i="10"/>
  <c r="M113" i="10" s="1"/>
  <c r="I213" i="10"/>
  <c r="I159" i="10"/>
  <c r="I174" i="10"/>
  <c r="I247" i="10"/>
  <c r="I75" i="1"/>
  <c r="M75" i="1"/>
  <c r="A23" i="1"/>
  <c r="A24" i="1"/>
  <c r="M23" i="1"/>
  <c r="M54" i="1"/>
  <c r="M39" i="1"/>
  <c r="L44" i="1"/>
  <c r="G70" i="1"/>
  <c r="M44" i="1"/>
  <c r="M37" i="1"/>
  <c r="M52" i="1"/>
  <c r="M49" i="1"/>
  <c r="I14" i="1"/>
  <c r="L52" i="1"/>
  <c r="L49" i="1"/>
  <c r="I65" i="1"/>
  <c r="I66" i="1" s="1"/>
  <c r="L24" i="1"/>
  <c r="M24" i="1"/>
  <c r="L73" i="1"/>
  <c r="N73" i="1" s="1"/>
  <c r="O73" i="1" s="1"/>
  <c r="G22" i="1"/>
  <c r="G98" i="1"/>
  <c r="L47" i="1"/>
  <c r="I42" i="1"/>
  <c r="L19" i="1"/>
  <c r="L39" i="1"/>
  <c r="L37" i="1"/>
  <c r="M47" i="1"/>
  <c r="M45" i="1"/>
  <c r="M19" i="1"/>
  <c r="M14" i="1"/>
  <c r="M42" i="1"/>
  <c r="H223" i="10"/>
  <c r="M223" i="10" s="1"/>
  <c r="M81" i="1"/>
  <c r="M82" i="1" s="1"/>
  <c r="I81" i="1"/>
  <c r="I82" i="1" s="1"/>
  <c r="L74" i="1"/>
  <c r="N74" i="1" s="1"/>
  <c r="L77" i="1"/>
  <c r="L82" i="1" s="1"/>
  <c r="G94" i="1"/>
  <c r="I45" i="1"/>
  <c r="J70" i="1"/>
  <c r="H123" i="10" s="1"/>
  <c r="M123" i="10" s="1"/>
  <c r="G40" i="1"/>
  <c r="J40" i="1"/>
  <c r="J20" i="1"/>
  <c r="J98" i="1"/>
  <c r="G104" i="1"/>
  <c r="H208" i="10" s="1"/>
  <c r="I208" i="10" s="1"/>
  <c r="G57" i="1"/>
  <c r="G20" i="1"/>
  <c r="N103" i="1"/>
  <c r="I54" i="1"/>
  <c r="I23" i="1"/>
  <c r="P92" i="6"/>
  <c r="P91" i="6"/>
  <c r="P93" i="6"/>
  <c r="P104" i="6"/>
  <c r="H275" i="10"/>
  <c r="H276" i="10"/>
  <c r="M89" i="1"/>
  <c r="M94" i="1" s="1"/>
  <c r="H250" i="10" s="1"/>
  <c r="M250" i="10" s="1"/>
  <c r="J57" i="1"/>
  <c r="P102" i="6"/>
  <c r="L70" i="1"/>
  <c r="H124" i="10" s="1"/>
  <c r="M124" i="10" s="1"/>
  <c r="L38" i="1"/>
  <c r="I38" i="1"/>
  <c r="L51" i="1"/>
  <c r="I51" i="1"/>
  <c r="M51" i="1"/>
  <c r="I46" i="1"/>
  <c r="L46" i="1"/>
  <c r="I56" i="1"/>
  <c r="L56" i="1"/>
  <c r="I50" i="1"/>
  <c r="L50" i="1"/>
  <c r="N79" i="1"/>
  <c r="I53" i="1"/>
  <c r="L53" i="1"/>
  <c r="L43" i="1"/>
  <c r="I43" i="1"/>
  <c r="M43" i="1"/>
  <c r="L98" i="1"/>
  <c r="J45" i="8"/>
  <c r="M41" i="8" s="1"/>
  <c r="M40" i="8" s="1"/>
  <c r="M38" i="1"/>
  <c r="M46" i="1"/>
  <c r="I36" i="1"/>
  <c r="L36" i="1"/>
  <c r="L55" i="1"/>
  <c r="I55" i="1"/>
  <c r="L48" i="1"/>
  <c r="I48" i="1"/>
  <c r="I15" i="1"/>
  <c r="L15" i="1"/>
  <c r="A20" i="1"/>
  <c r="N25" i="1"/>
  <c r="J94" i="1"/>
  <c r="H248" i="10" s="1"/>
  <c r="H78" i="10" l="1"/>
  <c r="M78" i="10" s="1"/>
  <c r="N15" i="1"/>
  <c r="O15" i="1" s="1"/>
  <c r="I248" i="10"/>
  <c r="M248" i="10"/>
  <c r="I223" i="10"/>
  <c r="O25" i="1"/>
  <c r="I275" i="10"/>
  <c r="I276" i="10"/>
  <c r="I272" i="10"/>
  <c r="I124" i="10"/>
  <c r="H175" i="10"/>
  <c r="M175" i="10" s="1"/>
  <c r="I123" i="10"/>
  <c r="H121" i="10"/>
  <c r="I113" i="10"/>
  <c r="I112" i="10"/>
  <c r="H271" i="10"/>
  <c r="H110" i="10"/>
  <c r="I109" i="10"/>
  <c r="H246" i="10"/>
  <c r="M246" i="10" s="1"/>
  <c r="I47" i="10"/>
  <c r="I250" i="10"/>
  <c r="I50" i="10"/>
  <c r="H178" i="10"/>
  <c r="M178" i="10" s="1"/>
  <c r="L75" i="1"/>
  <c r="H177" i="10" s="1"/>
  <c r="M177" i="10" s="1"/>
  <c r="M34" i="1"/>
  <c r="G34" i="1"/>
  <c r="H76" i="10" s="1"/>
  <c r="I34" i="1"/>
  <c r="L34" i="1"/>
  <c r="N89" i="1"/>
  <c r="N94" i="1" s="1"/>
  <c r="N77" i="1"/>
  <c r="N100" i="1"/>
  <c r="N104" i="1" s="1"/>
  <c r="I104" i="1"/>
  <c r="H209" i="10" s="1"/>
  <c r="J111" i="1"/>
  <c r="N81" i="1"/>
  <c r="O81" i="1" s="1"/>
  <c r="N72" i="1"/>
  <c r="N75" i="1" s="1"/>
  <c r="N23" i="1"/>
  <c r="N65" i="1"/>
  <c r="N19" i="1"/>
  <c r="O19" i="1" s="1"/>
  <c r="M40" i="1"/>
  <c r="O69" i="1"/>
  <c r="O96" i="1"/>
  <c r="N44" i="1"/>
  <c r="O44" i="1" s="1"/>
  <c r="O31" i="1"/>
  <c r="O74" i="1"/>
  <c r="N49" i="1"/>
  <c r="O49" i="1" s="1"/>
  <c r="N37" i="1"/>
  <c r="O37" i="1" s="1"/>
  <c r="M98" i="1"/>
  <c r="N54" i="1"/>
  <c r="O54" i="1" s="1"/>
  <c r="N45" i="1"/>
  <c r="O45" i="1" s="1"/>
  <c r="N47" i="1"/>
  <c r="O47" i="1" s="1"/>
  <c r="N39" i="1"/>
  <c r="O39" i="1" s="1"/>
  <c r="N22" i="1"/>
  <c r="N52" i="1"/>
  <c r="O52" i="1" s="1"/>
  <c r="N42" i="1"/>
  <c r="O42" i="1" s="1"/>
  <c r="M70" i="1"/>
  <c r="H125" i="10" s="1"/>
  <c r="M125" i="10" s="1"/>
  <c r="M20" i="1"/>
  <c r="N24" i="1"/>
  <c r="N14" i="1"/>
  <c r="O14" i="1" s="1"/>
  <c r="N48" i="1"/>
  <c r="O48" i="1" s="1"/>
  <c r="L20" i="1"/>
  <c r="L40" i="1"/>
  <c r="O92" i="1"/>
  <c r="N53" i="1"/>
  <c r="O53" i="1" s="1"/>
  <c r="L57" i="1"/>
  <c r="O86" i="1"/>
  <c r="O103" i="1"/>
  <c r="O97" i="1"/>
  <c r="O79" i="1"/>
  <c r="O93" i="1"/>
  <c r="N50" i="1"/>
  <c r="O50" i="1" s="1"/>
  <c r="O30" i="1"/>
  <c r="O91" i="1"/>
  <c r="N36" i="1"/>
  <c r="I40" i="1"/>
  <c r="H273" i="10"/>
  <c r="N109" i="1"/>
  <c r="N110" i="1" s="1"/>
  <c r="N55" i="1"/>
  <c r="O55" i="1" s="1"/>
  <c r="O33" i="1"/>
  <c r="M57" i="1"/>
  <c r="I98" i="1"/>
  <c r="O90" i="1"/>
  <c r="N56" i="1"/>
  <c r="N51" i="1"/>
  <c r="O51" i="1" s="1"/>
  <c r="N38" i="1"/>
  <c r="O38" i="1" s="1"/>
  <c r="I84" i="1"/>
  <c r="I87" i="1" s="1"/>
  <c r="F111" i="1"/>
  <c r="M40" i="6" s="1"/>
  <c r="H201" i="10" s="1"/>
  <c r="M201" i="10" s="1"/>
  <c r="I70" i="1"/>
  <c r="H122" i="10" s="1"/>
  <c r="M122" i="10" s="1"/>
  <c r="N46" i="1"/>
  <c r="O46" i="1" s="1"/>
  <c r="O26" i="1"/>
  <c r="N43" i="1"/>
  <c r="O43" i="1" s="1"/>
  <c r="I57" i="1"/>
  <c r="I20" i="1"/>
  <c r="M76" i="10" l="1"/>
  <c r="P40" i="6"/>
  <c r="H282" i="10"/>
  <c r="K108" i="10"/>
  <c r="M110" i="10"/>
  <c r="M121" i="10"/>
  <c r="I246" i="10"/>
  <c r="H263" i="10"/>
  <c r="K172" i="10"/>
  <c r="H191" i="10"/>
  <c r="I191" i="10" s="1"/>
  <c r="I209" i="10"/>
  <c r="I212" i="10"/>
  <c r="I196" i="10"/>
  <c r="N34" i="1"/>
  <c r="H80" i="10"/>
  <c r="M80" i="10" s="1"/>
  <c r="H77" i="10"/>
  <c r="H81" i="10"/>
  <c r="M81" i="10" s="1"/>
  <c r="O65" i="1"/>
  <c r="N66" i="1"/>
  <c r="K109" i="10" s="1"/>
  <c r="O23" i="1"/>
  <c r="O24" i="1"/>
  <c r="I273" i="10"/>
  <c r="I271" i="10"/>
  <c r="I125" i="10"/>
  <c r="I175" i="10"/>
  <c r="I122" i="10"/>
  <c r="I110" i="10"/>
  <c r="I121" i="10"/>
  <c r="H127" i="10"/>
  <c r="H118" i="10"/>
  <c r="I177" i="10"/>
  <c r="I178" i="10"/>
  <c r="G111" i="1"/>
  <c r="M111" i="1"/>
  <c r="M112" i="1" s="1"/>
  <c r="N84" i="1"/>
  <c r="H224" i="10"/>
  <c r="N82" i="1"/>
  <c r="O22" i="1"/>
  <c r="O77" i="1"/>
  <c r="O72" i="1"/>
  <c r="I78" i="10"/>
  <c r="I76" i="10"/>
  <c r="N20" i="1"/>
  <c r="N98" i="1"/>
  <c r="O98" i="1" s="1"/>
  <c r="O99" i="1" s="1"/>
  <c r="O100" i="1"/>
  <c r="O89" i="1"/>
  <c r="N70" i="1"/>
  <c r="O68" i="1"/>
  <c r="O36" i="1"/>
  <c r="N40" i="1"/>
  <c r="O40" i="1" s="1"/>
  <c r="O41" i="1" s="1"/>
  <c r="O109" i="1"/>
  <c r="N57" i="1"/>
  <c r="M69" i="6" l="1"/>
  <c r="H318" i="10"/>
  <c r="H243" i="10"/>
  <c r="M224" i="10"/>
  <c r="K74" i="10"/>
  <c r="O82" i="1"/>
  <c r="K173" i="10"/>
  <c r="I77" i="10"/>
  <c r="M77" i="10"/>
  <c r="I190" i="10"/>
  <c r="I192" i="10"/>
  <c r="K73" i="10"/>
  <c r="I195" i="10"/>
  <c r="I197" i="10"/>
  <c r="H106" i="10"/>
  <c r="I106" i="10" s="1"/>
  <c r="I118" i="10"/>
  <c r="I127" i="10"/>
  <c r="I80" i="10"/>
  <c r="I52" i="10"/>
  <c r="I224" i="10"/>
  <c r="I48" i="10"/>
  <c r="I49" i="10"/>
  <c r="I51" i="10"/>
  <c r="N87" i="1"/>
  <c r="N111" i="1" s="1"/>
  <c r="O57" i="1"/>
  <c r="O58" i="1" s="1"/>
  <c r="O66" i="1"/>
  <c r="O67" i="1" s="1"/>
  <c r="O20" i="1"/>
  <c r="O110" i="1"/>
  <c r="O104" i="1"/>
  <c r="O105" i="1" s="1"/>
  <c r="O94" i="1"/>
  <c r="O95" i="1" s="1"/>
  <c r="O75" i="1"/>
  <c r="O76" i="1" s="1"/>
  <c r="O83" i="1" s="1"/>
  <c r="O84" i="1"/>
  <c r="O70" i="1"/>
  <c r="O71" i="1" s="1"/>
  <c r="M200" i="10" l="1"/>
  <c r="M295" i="10" s="1"/>
  <c r="M297" i="10" s="1"/>
  <c r="H320" i="10"/>
  <c r="I200" i="10"/>
  <c r="H205" i="10"/>
  <c r="O21" i="1"/>
  <c r="I81" i="10"/>
  <c r="H220" i="10"/>
  <c r="O87" i="1"/>
  <c r="H321" i="10" l="1"/>
  <c r="I282" i="10"/>
  <c r="I220" i="10"/>
  <c r="I263" i="10"/>
  <c r="I264" i="10" s="1"/>
  <c r="I288" i="10"/>
  <c r="I243" i="10" l="1"/>
  <c r="L111" i="1"/>
  <c r="I111" i="1"/>
  <c r="O27" i="1" l="1"/>
  <c r="L112" i="1"/>
  <c r="I112" i="1" l="1"/>
  <c r="J112" i="1"/>
  <c r="G112" i="1"/>
  <c r="N112" i="1"/>
  <c r="I201" i="10" l="1"/>
  <c r="I262" i="10"/>
  <c r="I283" i="10"/>
  <c r="I281" i="10"/>
  <c r="I221" i="10"/>
  <c r="I219" i="10"/>
  <c r="I244" i="10"/>
  <c r="I242" i="10"/>
  <c r="O34" i="1"/>
  <c r="O35" i="1" s="1"/>
  <c r="M108" i="6" l="1"/>
  <c r="O111" i="1"/>
  <c r="P105" i="6" l="1"/>
  <c r="I205" i="10"/>
  <c r="I170" i="10"/>
  <c r="I119" i="10" l="1"/>
  <c r="I117" i="10"/>
  <c r="I206" i="10" l="1"/>
  <c r="I204" i="10"/>
  <c r="I171" i="10"/>
  <c r="I169" i="10"/>
  <c r="I128" i="10"/>
  <c r="I126" i="10"/>
  <c r="H71" i="10"/>
  <c r="H295" i="10" s="1"/>
  <c r="K295" i="10" s="1"/>
  <c r="I71" i="10" l="1"/>
  <c r="I70" i="10" s="1"/>
  <c r="I72" i="10" l="1"/>
  <c r="H297" i="10"/>
  <c r="D297" i="10" s="1"/>
  <c r="H301" i="10" l="1"/>
  <c r="I107" i="10"/>
  <c r="I105" i="10"/>
</calcChain>
</file>

<file path=xl/sharedStrings.xml><?xml version="1.0" encoding="utf-8"?>
<sst xmlns="http://schemas.openxmlformats.org/spreadsheetml/2006/main" count="1132" uniqueCount="446">
  <si>
    <t xml:space="preserve">Classroom Teachers                                </t>
  </si>
  <si>
    <t xml:space="preserve">Classroom Aides                                   </t>
  </si>
  <si>
    <t xml:space="preserve">10040005200120                               </t>
  </si>
  <si>
    <t xml:space="preserve">ESE Teacher                                       </t>
  </si>
  <si>
    <t xml:space="preserve">10040007300110                               </t>
  </si>
  <si>
    <t xml:space="preserve">Administrator                                     </t>
  </si>
  <si>
    <t xml:space="preserve">10040007300160                               </t>
  </si>
  <si>
    <t xml:space="preserve">Administrative Assistants                         </t>
  </si>
  <si>
    <t xml:space="preserve">10040007900160                               </t>
  </si>
  <si>
    <t xml:space="preserve">Custodians                                        </t>
  </si>
  <si>
    <t xml:space="preserve">41040007600160                               </t>
  </si>
  <si>
    <t xml:space="preserve">Food Service Clerk                                </t>
  </si>
  <si>
    <t>Security Guard</t>
  </si>
  <si>
    <t>100-4000-7300-160</t>
  </si>
  <si>
    <t>891-4000-9100-150</t>
  </si>
  <si>
    <t>100-4000-5200-120</t>
  </si>
  <si>
    <t>100-4000-7900-160</t>
  </si>
  <si>
    <t>100-4000-7300-110</t>
  </si>
  <si>
    <t>410-4000-7600-160</t>
  </si>
  <si>
    <t>100-4000-7900-165</t>
  </si>
  <si>
    <t>Workers Comp</t>
  </si>
  <si>
    <t>Retirement</t>
  </si>
  <si>
    <t>Instruction</t>
  </si>
  <si>
    <t>Social Security</t>
  </si>
  <si>
    <t>Administrative</t>
  </si>
  <si>
    <t>#</t>
  </si>
  <si>
    <t>Account Code</t>
  </si>
  <si>
    <t>Name</t>
  </si>
  <si>
    <t>Unemply Comp</t>
  </si>
  <si>
    <t>Revenues</t>
  </si>
  <si>
    <t>Total Revenues</t>
  </si>
  <si>
    <t>Expenditures</t>
  </si>
  <si>
    <t>Total Instruction</t>
  </si>
  <si>
    <t>Total Exceptional Instruction</t>
  </si>
  <si>
    <t>Total Pupil Personnel Services</t>
  </si>
  <si>
    <t>Total Instruction Media Sources</t>
  </si>
  <si>
    <t xml:space="preserve">Total Instruction and Curriculum Development </t>
  </si>
  <si>
    <t>Total Instructional Staff Training Services</t>
  </si>
  <si>
    <t>Total School Administration</t>
  </si>
  <si>
    <t>Total Fiscal Services</t>
  </si>
  <si>
    <t>Total Food Services</t>
  </si>
  <si>
    <t>Total Pupil Transportation Services</t>
  </si>
  <si>
    <t>Total Operation of Plant</t>
  </si>
  <si>
    <t>Total Maintenance of Plant</t>
  </si>
  <si>
    <t>Total Expenditures</t>
  </si>
  <si>
    <t>BY FUNCTION &amp; OBJECT</t>
  </si>
  <si>
    <t>Total Facilities Acquisition</t>
  </si>
  <si>
    <t>Assumptions</t>
  </si>
  <si>
    <t xml:space="preserve">Retirement                                        </t>
  </si>
  <si>
    <t xml:space="preserve">Social Security                                   </t>
  </si>
  <si>
    <t xml:space="preserve">Group Insurance                                   </t>
  </si>
  <si>
    <t xml:space="preserve">Workers Compensation                              </t>
  </si>
  <si>
    <t xml:space="preserve">Unemployment Compensation                         </t>
  </si>
  <si>
    <t xml:space="preserve">Media Specialist                                  </t>
  </si>
  <si>
    <t>Contracted Services</t>
  </si>
  <si>
    <t>District Admin Fees</t>
  </si>
  <si>
    <t xml:space="preserve"> </t>
  </si>
  <si>
    <t>n</t>
  </si>
  <si>
    <t>Custodial</t>
  </si>
  <si>
    <t>Security</t>
  </si>
  <si>
    <t>Food Service</t>
  </si>
  <si>
    <t>Aftercare</t>
  </si>
  <si>
    <t xml:space="preserve">Substitute Teachers                      </t>
  </si>
  <si>
    <t>After Care</t>
  </si>
  <si>
    <t>*</t>
  </si>
  <si>
    <t>Custodians</t>
  </si>
  <si>
    <t>Food Service Clerk</t>
  </si>
  <si>
    <t>Total Aftercare</t>
  </si>
  <si>
    <t>Aftercare Worker</t>
  </si>
  <si>
    <t>Total Debt Service</t>
  </si>
  <si>
    <t>2008-2009</t>
  </si>
  <si>
    <t xml:space="preserve">  </t>
  </si>
  <si>
    <t>2009-2010</t>
  </si>
  <si>
    <t>Projected</t>
  </si>
  <si>
    <t>100-4000-6200-130</t>
  </si>
  <si>
    <t>10040006200130</t>
  </si>
  <si>
    <t>Media</t>
  </si>
  <si>
    <t>Budget</t>
  </si>
  <si>
    <t>100-4000-7800-160</t>
  </si>
  <si>
    <t>10040007800160</t>
  </si>
  <si>
    <t>Bus Drivers</t>
  </si>
  <si>
    <t>Revenue Input</t>
  </si>
  <si>
    <t>Payroll Input</t>
  </si>
  <si>
    <t>Expense Input</t>
  </si>
  <si>
    <t>Beginning Fund Balance</t>
  </si>
  <si>
    <t>Ending Fund Balance</t>
  </si>
  <si>
    <t>PY</t>
  </si>
  <si>
    <t>PY + Enroll Change + Inf</t>
  </si>
  <si>
    <t>PY + Inf</t>
  </si>
  <si>
    <t>Total Instruction Related Technology</t>
  </si>
  <si>
    <t>Total Board Administration</t>
  </si>
  <si>
    <t>Salary</t>
  </si>
  <si>
    <t>ESE Teachers</t>
  </si>
  <si>
    <t>Interest Income</t>
  </si>
  <si>
    <t>Other Misc Revenue</t>
  </si>
  <si>
    <t>Field Trips</t>
  </si>
  <si>
    <t>Donations</t>
  </si>
  <si>
    <t>Copy and Printing</t>
  </si>
  <si>
    <t>Instructional Materials</t>
  </si>
  <si>
    <t>Computer Hardware</t>
  </si>
  <si>
    <t>Technology Support &amp; Service</t>
  </si>
  <si>
    <t>Legal and Audit Expense</t>
  </si>
  <si>
    <t>Dues and Fees</t>
  </si>
  <si>
    <t>Travel / Conferences / Workshops</t>
  </si>
  <si>
    <t>Postage</t>
  </si>
  <si>
    <t>Advertising</t>
  </si>
  <si>
    <t>Office Expense</t>
  </si>
  <si>
    <t>Facility Cost</t>
  </si>
  <si>
    <t>Contract Controller Service</t>
  </si>
  <si>
    <t>Payroll Service</t>
  </si>
  <si>
    <t>Insurance - Building</t>
  </si>
  <si>
    <t>Communications</t>
  </si>
  <si>
    <t>Water/ Sewer/ Garbage Collection</t>
  </si>
  <si>
    <t>Other Contracted Bldg. Services</t>
  </si>
  <si>
    <t>Electricity</t>
  </si>
  <si>
    <t>Custodial Supplies</t>
  </si>
  <si>
    <t>Repairs and Maintenance</t>
  </si>
  <si>
    <t>Retire</t>
  </si>
  <si>
    <t>SS</t>
  </si>
  <si>
    <t>Ins</t>
  </si>
  <si>
    <t>WC</t>
  </si>
  <si>
    <t>SUTA</t>
  </si>
  <si>
    <t>Total</t>
  </si>
  <si>
    <t xml:space="preserve">Administrative Salaries                         </t>
  </si>
  <si>
    <t>Enrollment</t>
  </si>
  <si>
    <t>Staff Development</t>
  </si>
  <si>
    <t>Group Insurance</t>
  </si>
  <si>
    <t>Workers Compensation</t>
  </si>
  <si>
    <t>Unemployment Compensation</t>
  </si>
  <si>
    <t>Facility Lease</t>
  </si>
  <si>
    <t>FEFP</t>
  </si>
  <si>
    <t>Capital Outlay</t>
  </si>
  <si>
    <t>EnrOld</t>
  </si>
  <si>
    <t>EnrNew</t>
  </si>
  <si>
    <t>Inf</t>
  </si>
  <si>
    <t>PRInf</t>
  </si>
  <si>
    <t>DistAdminFee</t>
  </si>
  <si>
    <t>Total Transfers</t>
  </si>
  <si>
    <t>OPERATING BUDGET</t>
  </si>
  <si>
    <t>ESE Teacher</t>
  </si>
  <si>
    <t>Transportation - Contracted Services</t>
  </si>
  <si>
    <t>Insurance - General Liability</t>
  </si>
  <si>
    <t>Non Capital Furniture &amp; Equipment</t>
  </si>
  <si>
    <t>5% FEFP</t>
  </si>
  <si>
    <t>y</t>
  </si>
  <si>
    <t>Per Lease</t>
  </si>
  <si>
    <t>CHAUTAUQUA LEARN &amp; SERVE CHARTER SCHOOL</t>
  </si>
  <si>
    <t>Transportation - Repair</t>
  </si>
  <si>
    <t>Travel/Conference/Workshops</t>
  </si>
  <si>
    <t>Office Support</t>
  </si>
  <si>
    <t>Job Coach</t>
  </si>
  <si>
    <t>Classroom Aide</t>
  </si>
  <si>
    <t>Trolley Instructor</t>
  </si>
  <si>
    <t>FEFP - Bay Cty Sch Dist</t>
  </si>
  <si>
    <t>IDEA</t>
  </si>
  <si>
    <t>MCCAULEY, CYNTHIA</t>
  </si>
  <si>
    <t>WOZNICK, MICHAEL S</t>
  </si>
  <si>
    <t>BOSTON, CARISSA</t>
  </si>
  <si>
    <t>MILLER, JIMMY</t>
  </si>
  <si>
    <t>BEIDELMAN, RYAN L</t>
  </si>
  <si>
    <t>PARRISH, BETH A</t>
  </si>
  <si>
    <t>REMICK, DOUGLAS E</t>
  </si>
  <si>
    <t>ARTEAGA, ALEXANDER</t>
  </si>
  <si>
    <t>HARRINGTON, MARION L</t>
  </si>
  <si>
    <t>ZEBROSKI, MATTHEW</t>
  </si>
  <si>
    <t>Trolley Trainers</t>
  </si>
  <si>
    <t xml:space="preserve">ESE Aides                                   </t>
  </si>
  <si>
    <t>100-4000-5200-121</t>
  </si>
  <si>
    <t>100-4000-5200-750</t>
  </si>
  <si>
    <t>10040005200750</t>
  </si>
  <si>
    <t>ESE Aides</t>
  </si>
  <si>
    <t>NA</t>
  </si>
  <si>
    <t>VR Summer Grant</t>
  </si>
  <si>
    <t>Capital Furniture &amp; Equipment</t>
  </si>
  <si>
    <t>Per Contract</t>
  </si>
  <si>
    <t>WINDISCH, STEPHEN</t>
  </si>
  <si>
    <t>Non Cap Furniture and Equipment</t>
  </si>
  <si>
    <t>Transportation - Other Vehicles</t>
  </si>
  <si>
    <t>FEFP for Admin</t>
  </si>
  <si>
    <t>10040005200121</t>
  </si>
  <si>
    <t>100-4000-5200-150</t>
  </si>
  <si>
    <t>10040005200150</t>
  </si>
  <si>
    <t>100-4000-6100-150</t>
  </si>
  <si>
    <t xml:space="preserve">10040006100150                             </t>
  </si>
  <si>
    <t>310</t>
  </si>
  <si>
    <t>Contracted Security Services</t>
  </si>
  <si>
    <t>VR Grant</t>
  </si>
  <si>
    <t>FISCAL YEAR 2019-20</t>
  </si>
  <si>
    <t>2019-2020</t>
  </si>
  <si>
    <t>5% of Unweighted FEFP</t>
  </si>
  <si>
    <t>Florida Teacher's Lead Program</t>
  </si>
  <si>
    <t>Adults With Disabilities</t>
  </si>
  <si>
    <t>FRS</t>
  </si>
  <si>
    <t>ANASTASIO, NANCY</t>
  </si>
  <si>
    <t>FLINT, LOGAN</t>
  </si>
  <si>
    <t>FOWLER, MISTY</t>
  </si>
  <si>
    <t>GRABNER, LUCIE</t>
  </si>
  <si>
    <t>HAY, HEATHER</t>
  </si>
  <si>
    <t>KELLETT, CHRISTIN</t>
  </si>
  <si>
    <t>NUTT, MARY</t>
  </si>
  <si>
    <t>ZEBROSKI, MARY</t>
  </si>
  <si>
    <t>Hours</t>
  </si>
  <si>
    <t>10 month</t>
  </si>
  <si>
    <t>PP</t>
  </si>
  <si>
    <t>12 month</t>
  </si>
  <si>
    <t>Noncapitalized Furniture Fixtures and Equipment</t>
  </si>
  <si>
    <t>Psychological contract services</t>
  </si>
  <si>
    <t>Testing and Assessment</t>
  </si>
  <si>
    <t>Bank Charges</t>
  </si>
  <si>
    <t>Software</t>
  </si>
  <si>
    <t>Transportation - Other</t>
  </si>
  <si>
    <t>Contract Security Services</t>
  </si>
  <si>
    <t>Repair and Maintenance</t>
  </si>
  <si>
    <t>Fundraiser Expense</t>
  </si>
  <si>
    <t>Reclass 79-320</t>
  </si>
  <si>
    <t>PY + Enr Chg at 90%</t>
  </si>
  <si>
    <t>CSCO</t>
  </si>
  <si>
    <t>$3,560 x 10 months</t>
  </si>
  <si>
    <t>Psychological Contract Services</t>
  </si>
  <si>
    <t>11 month</t>
  </si>
  <si>
    <t>Debt Service - Principal</t>
  </si>
  <si>
    <t>Debt Service - Interest</t>
  </si>
  <si>
    <t>DAVIDSON, KIM</t>
  </si>
  <si>
    <t>WARD, ASHLYN</t>
  </si>
  <si>
    <t>Insurance</t>
  </si>
  <si>
    <t>Per Amt</t>
  </si>
  <si>
    <t>Pre-Employment Training Services</t>
  </si>
  <si>
    <t>Revenue</t>
  </si>
  <si>
    <t>Salaries &amp; Benefits</t>
  </si>
  <si>
    <t>Facility &amp; Plant Ops</t>
  </si>
  <si>
    <t>Other</t>
  </si>
  <si>
    <t>379</t>
  </si>
  <si>
    <t>FLINT, JAN</t>
  </si>
  <si>
    <t>Chautaqua Learn and Serve</t>
  </si>
  <si>
    <t>Projected Operating Results and Cash Flows</t>
  </si>
  <si>
    <t>July 1, 2019 - June 30, 2020</t>
  </si>
  <si>
    <t>10033000000000</t>
  </si>
  <si>
    <t>49632000000000</t>
  </si>
  <si>
    <t>496</t>
  </si>
  <si>
    <t>3200</t>
  </si>
  <si>
    <t>FEMA Proceeds</t>
  </si>
  <si>
    <t xml:space="preserve">Federal </t>
  </si>
  <si>
    <t>10032300000000</t>
  </si>
  <si>
    <t>10033340000000</t>
  </si>
  <si>
    <t>State</t>
  </si>
  <si>
    <t>10033740000000</t>
  </si>
  <si>
    <t>3374</t>
  </si>
  <si>
    <t>Best and Brightest</t>
  </si>
  <si>
    <t>10033900000000</t>
  </si>
  <si>
    <t>10033950000000</t>
  </si>
  <si>
    <t>Other Misc State Revenue</t>
  </si>
  <si>
    <t>36033970000000</t>
  </si>
  <si>
    <t>10034000000000</t>
  </si>
  <si>
    <t>Local</t>
  </si>
  <si>
    <t>10034730000000</t>
  </si>
  <si>
    <t>3473</t>
  </si>
  <si>
    <t>10034970000000</t>
  </si>
  <si>
    <t>3497</t>
  </si>
  <si>
    <t>Recovery of Prior Year Expense</t>
  </si>
  <si>
    <t>10036000000000</t>
  </si>
  <si>
    <t>10040005200120</t>
  </si>
  <si>
    <t>Exceptional Instruction</t>
  </si>
  <si>
    <t>10040005200210</t>
  </si>
  <si>
    <t>10040005200220</t>
  </si>
  <si>
    <t>10040005200230</t>
  </si>
  <si>
    <t>10040005200240</t>
  </si>
  <si>
    <t>10040005200250</t>
  </si>
  <si>
    <t>10040005200310</t>
  </si>
  <si>
    <t>10040005200315</t>
  </si>
  <si>
    <t>10040005200330</t>
  </si>
  <si>
    <t>10040005200390</t>
  </si>
  <si>
    <t>10040005200510</t>
  </si>
  <si>
    <t>10040005200642</t>
  </si>
  <si>
    <t>10040005200730</t>
  </si>
  <si>
    <t>10040006100150</t>
  </si>
  <si>
    <t>Student Support Services</t>
  </si>
  <si>
    <t>10040006100210</t>
  </si>
  <si>
    <t>10040006100220</t>
  </si>
  <si>
    <t>10040006100230</t>
  </si>
  <si>
    <t>10040006100240</t>
  </si>
  <si>
    <t>10040006100250</t>
  </si>
  <si>
    <t>10040006130310</t>
  </si>
  <si>
    <t>10040006140310</t>
  </si>
  <si>
    <t>10040006300590</t>
  </si>
  <si>
    <t>Curriculum Development</t>
  </si>
  <si>
    <t>10040006400310</t>
  </si>
  <si>
    <t>Instructional Staff Training</t>
  </si>
  <si>
    <t>10040006500310</t>
  </si>
  <si>
    <t>Instructional Related Technology</t>
  </si>
  <si>
    <t>10040007100310</t>
  </si>
  <si>
    <t>Board</t>
  </si>
  <si>
    <t>10040007100330</t>
  </si>
  <si>
    <t>10040007100730</t>
  </si>
  <si>
    <t>10040007100790</t>
  </si>
  <si>
    <t>10040007100795</t>
  </si>
  <si>
    <t>10040007300160</t>
  </si>
  <si>
    <t>School Administration</t>
  </si>
  <si>
    <t>10040007300210</t>
  </si>
  <si>
    <t>10040007300220</t>
  </si>
  <si>
    <t>10040007300230</t>
  </si>
  <si>
    <t>230</t>
  </si>
  <si>
    <t>10040007300240</t>
  </si>
  <si>
    <t>10040007300250</t>
  </si>
  <si>
    <t>10040007300330</t>
  </si>
  <si>
    <t>10040007300370</t>
  </si>
  <si>
    <t>10040007300390</t>
  </si>
  <si>
    <t>10040007300510</t>
  </si>
  <si>
    <t>10040007300690</t>
  </si>
  <si>
    <t>10040007400630</t>
  </si>
  <si>
    <t>Facility Acquisitions</t>
  </si>
  <si>
    <t>10040007500310</t>
  </si>
  <si>
    <t>Fiscal Services</t>
  </si>
  <si>
    <t>10040007500311</t>
  </si>
  <si>
    <t>10040007800350</t>
  </si>
  <si>
    <t>Transportation</t>
  </si>
  <si>
    <t>10040007800550</t>
  </si>
  <si>
    <t>550</t>
  </si>
  <si>
    <t>10040007900310</t>
  </si>
  <si>
    <t>Plant Operations</t>
  </si>
  <si>
    <t>10040007900320</t>
  </si>
  <si>
    <t>36040007900320</t>
  </si>
  <si>
    <t>10040007900379</t>
  </si>
  <si>
    <t>Communication</t>
  </si>
  <si>
    <t>10040007900380</t>
  </si>
  <si>
    <t>10040007900390</t>
  </si>
  <si>
    <t>10040007900430</t>
  </si>
  <si>
    <t>10040007900510</t>
  </si>
  <si>
    <t>10040008100350</t>
  </si>
  <si>
    <t>Plant Maintenance</t>
  </si>
  <si>
    <t>36040008100350</t>
  </si>
  <si>
    <t>10040009100705</t>
  </si>
  <si>
    <t>705</t>
  </si>
  <si>
    <t>Community Services</t>
  </si>
  <si>
    <t>10040009100710</t>
  </si>
  <si>
    <t>10040009200710</t>
  </si>
  <si>
    <t>Principal</t>
  </si>
  <si>
    <t>Debt Service</t>
  </si>
  <si>
    <t>36040009200710</t>
  </si>
  <si>
    <t>10040009200720</t>
  </si>
  <si>
    <t>Interest</t>
  </si>
  <si>
    <t>36040009200720</t>
  </si>
  <si>
    <t>2020-2021</t>
  </si>
  <si>
    <t>PY + Enr Chg</t>
  </si>
  <si>
    <t>4000</t>
  </si>
  <si>
    <t>710</t>
  </si>
  <si>
    <t>9200</t>
  </si>
  <si>
    <t>720</t>
  </si>
  <si>
    <t xml:space="preserve">Per PPD </t>
  </si>
  <si>
    <t xml:space="preserve">Per Month </t>
  </si>
  <si>
    <t>YR total</t>
  </si>
  <si>
    <t>Per Hour</t>
  </si>
  <si>
    <t>VR Pay</t>
  </si>
  <si>
    <t>Huors</t>
  </si>
  <si>
    <t>ANASTASIO, NANCY K</t>
  </si>
  <si>
    <t>52120 - ESE TEACHER</t>
  </si>
  <si>
    <t>GRABNER, LUCIE C</t>
  </si>
  <si>
    <t>Salary 10 month</t>
  </si>
  <si>
    <t>VR</t>
  </si>
  <si>
    <t>DEATON, LISA</t>
  </si>
  <si>
    <t>ZEBROSKI, MARY P</t>
  </si>
  <si>
    <t xml:space="preserve">5200-120 Total </t>
  </si>
  <si>
    <t>52121 - TROLLEY TRAINER</t>
  </si>
  <si>
    <t xml:space="preserve">5200-121 Total </t>
  </si>
  <si>
    <t>52150 - TEACHERS AIDES</t>
  </si>
  <si>
    <t>FOWLER, MISTY D</t>
  </si>
  <si>
    <t>HAY, HEATHER N</t>
  </si>
  <si>
    <t>NUTT, MARY N</t>
  </si>
  <si>
    <t>WARREN, MONA D</t>
  </si>
  <si>
    <t xml:space="preserve">5200-150 Total </t>
  </si>
  <si>
    <t>61150 - JOB COACH</t>
  </si>
  <si>
    <t>DAVIDSON, KIMBERLY</t>
  </si>
  <si>
    <t xml:space="preserve">6100-150 Total </t>
  </si>
  <si>
    <t>73160 - CLERK/OFFICE</t>
  </si>
  <si>
    <t xml:space="preserve">7300-160 Total </t>
  </si>
  <si>
    <t xml:space="preserve">Deaton, Lisa </t>
  </si>
  <si>
    <t>Flint, Logan</t>
  </si>
  <si>
    <t xml:space="preserve">Koder, Vickie </t>
  </si>
  <si>
    <t>Clark, Elizabeth</t>
  </si>
  <si>
    <t>Restart Grant</t>
  </si>
  <si>
    <t>Per Grant Budget</t>
  </si>
  <si>
    <t>***how to add Expense Restart. Sep Fund?</t>
  </si>
  <si>
    <t>FLORIDA DEPARTMENT OF EDUCATION
BUDGET NARRATIVE FORM</t>
  </si>
  <si>
    <t>A)  Name of Eligible Recipient/Fiscal Agent:</t>
  </si>
  <si>
    <t>Chautauqua Learn and Serve Charter School</t>
  </si>
  <si>
    <t xml:space="preserve">B)  DOE Assigned Project Number:  </t>
  </si>
  <si>
    <t>C)  TAPS Number:</t>
  </si>
  <si>
    <t>(1)</t>
  </si>
  <si>
    <t>(2)</t>
  </si>
  <si>
    <t>(3)</t>
  </si>
  <si>
    <t>(4)</t>
  </si>
  <si>
    <t>(5)</t>
  </si>
  <si>
    <t>(6)</t>
  </si>
  <si>
    <t>(7)</t>
  </si>
  <si>
    <t>(8)</t>
  </si>
  <si>
    <t>(9)</t>
  </si>
  <si>
    <t>FUNCTION</t>
  </si>
  <si>
    <t>OBJECT</t>
  </si>
  <si>
    <t>ACCOUNT TITLE AND NARRATIVE</t>
  </si>
  <si>
    <t>FTE POSITION</t>
  </si>
  <si>
    <t>AMOUNT</t>
  </si>
  <si>
    <t>% ALLOCATED to this PROJECT</t>
  </si>
  <si>
    <t>ALLOWABLE
DOE USE ONLY</t>
  </si>
  <si>
    <t>REASONABLE
DOE USE ONLY</t>
  </si>
  <si>
    <t>NECESSARY
DOE USE ONLY</t>
  </si>
  <si>
    <r>
      <t>D-7 (a)</t>
    </r>
    <r>
      <rPr>
        <b/>
        <sz val="10"/>
        <rFont val="Times New Roman"/>
      </rPr>
      <t xml:space="preserve"> Recovery of student and personnel data and other electronic information</t>
    </r>
    <r>
      <rPr>
        <sz val="10"/>
        <rFont val="Times New Roman"/>
      </rPr>
      <t xml:space="preserve">:                                       </t>
    </r>
  </si>
  <si>
    <t>10 Scanners $400 ea</t>
  </si>
  <si>
    <t>5 Folding Tables $40 eac</t>
  </si>
  <si>
    <t>10 Computers $650 ea</t>
  </si>
  <si>
    <r>
      <t xml:space="preserve">D-7 ( c ) </t>
    </r>
    <r>
      <rPr>
        <b/>
        <sz val="10"/>
        <rFont val="Times New Roman"/>
      </rPr>
      <t>Finanial operations</t>
    </r>
    <r>
      <rPr>
        <sz val="10"/>
        <rFont val="Times New Roman"/>
      </rPr>
      <t xml:space="preserve">:                </t>
    </r>
  </si>
  <si>
    <t>Account firm to manage the Restart Grant funds (3%)</t>
  </si>
  <si>
    <r>
      <t xml:space="preserve">D-7 (d) </t>
    </r>
    <r>
      <rPr>
        <b/>
        <sz val="10"/>
        <rFont val="Times New Roman"/>
      </rPr>
      <t xml:space="preserve">Reasonable Transportation Costs: </t>
    </r>
    <r>
      <rPr>
        <sz val="10"/>
        <rFont val="Times New Roman"/>
      </rPr>
      <t xml:space="preserve">                                                        </t>
    </r>
  </si>
  <si>
    <t xml:space="preserve">(1) Purchase used van for daily Community-Based-Instruction (CBI) as students' IEPs' require  $12,006.64  </t>
  </si>
  <si>
    <t>(2) Van Rental $39 per day * 2 vans * 8 days per month * 17 months = $10,608</t>
  </si>
  <si>
    <r>
      <t xml:space="preserve">D-7 ( e ) </t>
    </r>
    <r>
      <rPr>
        <b/>
        <sz val="10"/>
        <rFont val="Times New Roman"/>
      </rPr>
      <t xml:space="preserve">Rental and mobile eductional units and leasing of neutral sites and spaces:          </t>
    </r>
    <r>
      <rPr>
        <sz val="10"/>
        <rFont val="Times New Roman"/>
      </rPr>
      <t xml:space="preserve">  </t>
    </r>
  </si>
  <si>
    <t>(1) Rental of neutral space with one educational building and all utilities included near school campus. $80.00 per day * 635 days = $50,800.00</t>
  </si>
  <si>
    <t>(2) Lease of one mobile unite for lot with house, delivered and set up. $39,000.00</t>
  </si>
  <si>
    <r>
      <t>D-7 (g) R</t>
    </r>
    <r>
      <rPr>
        <b/>
        <sz val="10"/>
        <rFont val="Times New Roman"/>
      </rPr>
      <t xml:space="preserve">edeveloping instructional plans, including curriculum development: </t>
    </r>
    <r>
      <rPr>
        <sz val="10"/>
        <rFont val="Times New Roman"/>
      </rPr>
      <t xml:space="preserve">                </t>
    </r>
  </si>
  <si>
    <t xml:space="preserve">1. Therapies for students, staff and mentors to enhance soft vocational skills:  </t>
  </si>
  <si>
    <t>a. Art Therapy $400.00 per mon for 20 months = $8,000.00</t>
  </si>
  <si>
    <t>b. Water and Sail Therapy $600 a month for 12 months = $7,200.00</t>
  </si>
  <si>
    <t>c. Yoga Therapy $200 per session, two sessions per month for students and staff for 11.5 months. = $4,600.00</t>
  </si>
  <si>
    <r>
      <t xml:space="preserve">D-7 (h) </t>
    </r>
    <r>
      <rPr>
        <b/>
        <sz val="10"/>
        <rFont val="Times New Roman"/>
      </rPr>
      <t xml:space="preserve"> Initiating and maintaining educational and support service: </t>
    </r>
    <r>
      <rPr>
        <sz val="10"/>
        <rFont val="Times New Roman"/>
      </rPr>
      <t xml:space="preserve">                      </t>
    </r>
  </si>
  <si>
    <t xml:space="preserve">Health Insurance: $250 per month for 12 fulltime employees for 21 months applied to employees portions of health insurance. </t>
  </si>
  <si>
    <t>D)  TOTAL</t>
  </si>
  <si>
    <t>DOE 101S- Print version - Page 1 of 2</t>
  </si>
  <si>
    <t>July 2015</t>
  </si>
  <si>
    <t>DOE USE ONLY (Program)</t>
  </si>
  <si>
    <t xml:space="preserve">I certify that the cost for each line item budget category has been evaluated and determined to be allowable, reasonable and necessary as required by Section 216.3475, Florida Statutes. Documentation is on file evidencing the methodology used and the conclusions reached. </t>
  </si>
  <si>
    <t>Printed Name:</t>
  </si>
  <si>
    <t>Signature:</t>
  </si>
  <si>
    <t>Title:</t>
  </si>
  <si>
    <t>Date:</t>
  </si>
  <si>
    <t>DOE USE ONLY (Grants Management)</t>
  </si>
  <si>
    <t>I certify that the cost for each line item budget category has been evaluated and determined to be allowable as required by Section 216.3475, Florida Statutes.  Documentation is on file evidencing the methodology used and the conclusions reached.</t>
  </si>
  <si>
    <t>DOE 101S- Print version - Page 2 of 2</t>
  </si>
  <si>
    <t>PY @ 50%</t>
  </si>
  <si>
    <t>PPP</t>
  </si>
  <si>
    <t>ESSER</t>
  </si>
  <si>
    <t>Est $258 / student</t>
  </si>
  <si>
    <t>Per Loan</t>
  </si>
  <si>
    <t>Per Restart Grant</t>
  </si>
  <si>
    <t>652</t>
  </si>
  <si>
    <t>360 Fund</t>
  </si>
  <si>
    <t>Hourly/Salary with 2% Inc</t>
  </si>
  <si>
    <t>PY + Enroll Change + Inf @ 50%</t>
  </si>
  <si>
    <t>PY + Enroll Change + Inf @ 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</si>
</sst>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8" formatCode="&quot;$&quot;#,##0.00_);[Red]\(&quot;$&quot;#,##0.00\)"/>
    <numFmt numFmtId="41" formatCode="_(* #,##0_);_(* \(#,##0\);_(* &quot;-&quot;_);_(@_)"/>
    <numFmt numFmtId="44" formatCode="_(&quot;$&quot;* #,##0.00_);_(&quot;$&quot;* \(#,##0.00\);_(&quot;$&quot;* &quot;-&quot;??_);_(@_)"/>
    <numFmt numFmtId="43" formatCode="_(* #,##0.00_);_(* \(#,##0.00\);_(* &quot;-&quot;??_);_(@_)"/>
    <numFmt numFmtId="164" formatCode="mmmm\ d\,\ yyyy"/>
    <numFmt numFmtId="165" formatCode="00000"/>
    <numFmt numFmtId="166" formatCode="0000"/>
    <numFmt numFmtId="167" formatCode="000"/>
    <numFmt numFmtId="168" formatCode="_(* #,##0.00_);_(* \(#,##0.00\);_(* &quot;-&quot;_);_(@_)"/>
    <numFmt numFmtId="169" formatCode="_(* #,##0_);_(* \(#,##0\);_(* &quot;-&quot;??_);_(@_)"/>
    <numFmt numFmtId="170" formatCode="#,##0.0_);[Red]\(#,##0.0\)"/>
  </numFmts>
  <fonts count="59">
    <font>
      <sz val="10"/>
      <color indexed="8"/>
      <name val="MS Sans Serif"/>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MS Sans Serif"/>
      <family val="2"/>
    </font>
    <font>
      <sz val="10"/>
      <name val="Arial"/>
      <family val="2"/>
    </font>
    <font>
      <sz val="10"/>
      <name val="Tahoma"/>
      <family val="2"/>
    </font>
    <font>
      <b/>
      <sz val="10"/>
      <name val="Tahoma"/>
      <family val="2"/>
    </font>
    <font>
      <sz val="8"/>
      <color indexed="8"/>
      <name val="Tahoma"/>
      <family val="2"/>
    </font>
    <font>
      <b/>
      <u/>
      <sz val="10"/>
      <name val="Tahoma"/>
      <family val="2"/>
    </font>
    <font>
      <sz val="8"/>
      <name val="Tahoma"/>
      <family val="2"/>
    </font>
    <font>
      <sz val="10"/>
      <color indexed="8"/>
      <name val="Tahoma"/>
      <family val="2"/>
    </font>
    <font>
      <sz val="8"/>
      <color indexed="8"/>
      <name val="Arial"/>
      <family val="2"/>
    </font>
    <font>
      <sz val="8"/>
      <color indexed="8"/>
      <name val="Arial"/>
      <family val="2"/>
    </font>
    <font>
      <sz val="8"/>
      <color indexed="8"/>
      <name val="Arial"/>
      <family val="2"/>
    </font>
    <font>
      <sz val="10"/>
      <name val="Arial"/>
      <family val="2"/>
    </font>
    <font>
      <sz val="10"/>
      <name val="MS Sans Serif"/>
      <family val="2"/>
    </font>
    <font>
      <sz val="8"/>
      <color theme="1"/>
      <name val="Arial"/>
      <family val="2"/>
    </font>
    <font>
      <sz val="9"/>
      <color indexed="8"/>
      <name val="Arial"/>
      <family val="2"/>
    </font>
    <font>
      <b/>
      <sz val="9"/>
      <name val="Arial"/>
      <family val="2"/>
    </font>
    <font>
      <b/>
      <sz val="9"/>
      <color indexed="8"/>
      <name val="Arial"/>
      <family val="2"/>
    </font>
    <font>
      <sz val="9"/>
      <name val="Arial"/>
      <family val="2"/>
    </font>
    <font>
      <sz val="10"/>
      <name val="Arial"/>
      <family val="2"/>
    </font>
    <font>
      <sz val="11"/>
      <color rgb="FF000000"/>
      <name val="Calibri"/>
      <family val="2"/>
      <charset val="204"/>
    </font>
    <font>
      <b/>
      <sz val="11"/>
      <color theme="1"/>
      <name val="Calibri"/>
      <family val="2"/>
      <scheme val="minor"/>
    </font>
    <font>
      <b/>
      <u val="singleAccounting"/>
      <sz val="11"/>
      <color theme="1"/>
      <name val="Calibri"/>
      <family val="2"/>
      <scheme val="minor"/>
    </font>
    <font>
      <b/>
      <sz val="11"/>
      <name val="Calibri"/>
      <family val="2"/>
      <scheme val="minor"/>
    </font>
    <font>
      <sz val="11"/>
      <name val="Calibri"/>
      <family val="2"/>
      <scheme val="minor"/>
    </font>
    <font>
      <sz val="11"/>
      <color theme="1"/>
      <name val="Calibri"/>
    </font>
    <font>
      <sz val="14"/>
      <color theme="1"/>
      <name val="Times New Roman"/>
    </font>
    <font>
      <sz val="14"/>
      <color theme="1"/>
      <name val="Arial"/>
    </font>
    <font>
      <b/>
      <sz val="11"/>
      <color theme="1"/>
      <name val="Times New Roman"/>
    </font>
    <font>
      <sz val="10"/>
      <color theme="1"/>
      <name val="Times New Roman"/>
    </font>
    <font>
      <sz val="11"/>
      <name val="Calibri"/>
    </font>
    <font>
      <b/>
      <sz val="10"/>
      <color theme="1"/>
      <name val="Times New Roman"/>
    </font>
    <font>
      <b/>
      <sz val="10"/>
      <color theme="1"/>
      <name val="Arial"/>
    </font>
    <font>
      <b/>
      <sz val="9"/>
      <color theme="1"/>
      <name val="Times New Roman"/>
    </font>
    <font>
      <b/>
      <sz val="8"/>
      <color theme="1"/>
      <name val="Times New Roman"/>
    </font>
    <font>
      <sz val="12"/>
      <color theme="1"/>
      <name val="Times New Roman"/>
    </font>
    <font>
      <b/>
      <sz val="10"/>
      <name val="Times New Roman"/>
    </font>
    <font>
      <sz val="10"/>
      <name val="Times New Roman"/>
    </font>
    <font>
      <sz val="12"/>
      <name val="Times New Roman"/>
    </font>
    <font>
      <sz val="8"/>
      <color theme="1"/>
      <name val="Times New Roman"/>
    </font>
    <font>
      <b/>
      <sz val="14"/>
      <color theme="1"/>
      <name val="Times New Roman"/>
    </font>
    <font>
      <sz val="11"/>
      <color theme="1"/>
      <name val="Times New Roman"/>
    </font>
    <font>
      <b/>
      <sz val="12"/>
      <color theme="1"/>
      <name val="Times New Roman"/>
    </font>
    <font>
      <sz val="9"/>
      <color theme="1"/>
      <name val="Times New Roman"/>
    </font>
  </fonts>
  <fills count="5">
    <fill>
      <patternFill patternType="none"/>
    </fill>
    <fill>
      <patternFill patternType="gray125"/>
    </fill>
    <fill>
      <patternFill patternType="solid">
        <fgColor indexed="41"/>
        <bgColor indexed="64"/>
      </patternFill>
    </fill>
    <fill>
      <patternFill patternType="solid">
        <fgColor rgb="FFFFFF00"/>
        <bgColor indexed="64"/>
      </patternFill>
    </fill>
    <fill>
      <patternFill patternType="solid">
        <fgColor rgb="FFC0C0C0"/>
        <bgColor rgb="FFC0C0C0"/>
      </patternFill>
    </fill>
  </fills>
  <borders count="2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dotted">
        <color rgb="FF000000"/>
      </bottom>
      <diagonal/>
    </border>
    <border>
      <left/>
      <right/>
      <top style="dotted">
        <color rgb="FF000000"/>
      </top>
      <bottom style="dotted">
        <color rgb="FF00000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style="thin">
        <color indexed="64"/>
      </top>
      <bottom style="double">
        <color indexed="64"/>
      </bottom>
      <diagonal/>
    </border>
  </borders>
  <cellStyleXfs count="83">
    <xf numFmtId="0" fontId="0" fillId="0" borderId="0"/>
    <xf numFmtId="40" fontId="16" fillId="0" borderId="0" applyFont="0" applyFill="0" applyProtection="0"/>
    <xf numFmtId="0" fontId="17" fillId="0" borderId="0"/>
    <xf numFmtId="0" fontId="17" fillId="0" borderId="0"/>
    <xf numFmtId="9" fontId="16" fillId="0" borderId="0" applyFont="0" applyFill="0" applyProtection="0"/>
    <xf numFmtId="43" fontId="27" fillId="0" borderId="0" applyFont="0" applyFill="0" applyBorder="0" applyAlignment="0" applyProtection="0"/>
    <xf numFmtId="0" fontId="17" fillId="0" borderId="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5" fillId="0" borderId="0" applyFont="0" applyFill="0" applyBorder="0" applyAlignment="0" applyProtection="0"/>
    <xf numFmtId="43" fontId="1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0" fontId="15" fillId="0" borderId="0"/>
    <xf numFmtId="0" fontId="17" fillId="0" borderId="0"/>
    <xf numFmtId="0" fontId="17" fillId="0" borderId="0"/>
    <xf numFmtId="0" fontId="28" fillId="0" borderId="0"/>
    <xf numFmtId="0" fontId="15" fillId="0" borderId="0"/>
    <xf numFmtId="0" fontId="15" fillId="0" borderId="0"/>
    <xf numFmtId="0" fontId="15" fillId="0" borderId="0"/>
    <xf numFmtId="0" fontId="17" fillId="0" borderId="0"/>
    <xf numFmtId="0" fontId="15" fillId="0" borderId="0"/>
    <xf numFmtId="0" fontId="15" fillId="0" borderId="0"/>
    <xf numFmtId="0" fontId="17" fillId="0" borderId="0"/>
    <xf numFmtId="0" fontId="15" fillId="0" borderId="0"/>
    <xf numFmtId="0" fontId="28" fillId="0" borderId="0"/>
    <xf numFmtId="0" fontId="15"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4" fillId="0" borderId="0"/>
    <xf numFmtId="0" fontId="13" fillId="0" borderId="0"/>
    <xf numFmtId="0" fontId="12" fillId="0" borderId="0"/>
    <xf numFmtId="0" fontId="11" fillId="0" borderId="0"/>
    <xf numFmtId="0" fontId="10" fillId="0" borderId="0"/>
    <xf numFmtId="0" fontId="9" fillId="0" borderId="0"/>
    <xf numFmtId="0" fontId="8" fillId="0" borderId="0"/>
    <xf numFmtId="43" fontId="8" fillId="0" borderId="0" applyFont="0" applyFill="0" applyBorder="0" applyAlignment="0" applyProtection="0"/>
    <xf numFmtId="9" fontId="8" fillId="0" borderId="0" applyFont="0" applyFill="0" applyBorder="0" applyAlignment="0" applyProtection="0"/>
    <xf numFmtId="0" fontId="34" fillId="0" borderId="0"/>
    <xf numFmtId="0" fontId="7" fillId="0" borderId="0"/>
    <xf numFmtId="0" fontId="6" fillId="0" borderId="0"/>
    <xf numFmtId="0" fontId="5" fillId="0" borderId="0"/>
    <xf numFmtId="43" fontId="5" fillId="0" borderId="0" applyFont="0" applyFill="0" applyBorder="0" applyAlignment="0" applyProtection="0"/>
    <xf numFmtId="0" fontId="4" fillId="0" borderId="0"/>
    <xf numFmtId="0" fontId="35" fillId="0" borderId="0"/>
    <xf numFmtId="0" fontId="3" fillId="0" borderId="0"/>
    <xf numFmtId="0" fontId="2" fillId="0" borderId="0"/>
    <xf numFmtId="0" fontId="1" fillId="0" borderId="0"/>
    <xf numFmtId="0" fontId="40" fillId="0" borderId="0"/>
  </cellStyleXfs>
  <cellXfs count="252">
    <xf numFmtId="0" fontId="0" fillId="0" borderId="0" xfId="0"/>
    <xf numFmtId="0" fontId="18" fillId="0" borderId="0" xfId="2" applyFont="1"/>
    <xf numFmtId="0" fontId="18" fillId="0" borderId="0" xfId="2" applyFont="1" applyAlignment="1"/>
    <xf numFmtId="0" fontId="22" fillId="0" borderId="0" xfId="2" applyFont="1"/>
    <xf numFmtId="0" fontId="18" fillId="0" borderId="0" xfId="2" applyFont="1" applyBorder="1"/>
    <xf numFmtId="0" fontId="22" fillId="0" borderId="0" xfId="2" applyFont="1" applyBorder="1"/>
    <xf numFmtId="0" fontId="19" fillId="0" borderId="0" xfId="2" applyFont="1" applyBorder="1"/>
    <xf numFmtId="0" fontId="21" fillId="0" borderId="0" xfId="2" applyFont="1" applyAlignment="1">
      <alignment horizontal="left"/>
    </xf>
    <xf numFmtId="41" fontId="18" fillId="0" borderId="0" xfId="2" applyNumberFormat="1" applyFont="1"/>
    <xf numFmtId="0" fontId="21" fillId="0" borderId="0" xfId="2" applyFont="1"/>
    <xf numFmtId="0" fontId="19" fillId="0" borderId="0" xfId="2" applyFont="1"/>
    <xf numFmtId="0" fontId="22" fillId="0" borderId="0" xfId="2" applyFont="1" applyAlignment="1"/>
    <xf numFmtId="0" fontId="20" fillId="0" borderId="0" xfId="2" applyFont="1"/>
    <xf numFmtId="0" fontId="22" fillId="0" borderId="0" xfId="2" applyFont="1" applyAlignment="1">
      <alignment horizontal="left"/>
    </xf>
    <xf numFmtId="0" fontId="19" fillId="0" borderId="0" xfId="2" applyFont="1" applyAlignment="1">
      <alignment horizontal="center"/>
    </xf>
    <xf numFmtId="0" fontId="19" fillId="0" borderId="0" xfId="2" applyFont="1" applyBorder="1" applyAlignment="1">
      <alignment horizontal="center"/>
    </xf>
    <xf numFmtId="0" fontId="19" fillId="0" borderId="0" xfId="2" applyFont="1" applyAlignment="1">
      <alignment horizontal="right"/>
    </xf>
    <xf numFmtId="0" fontId="18" fillId="0" borderId="0" xfId="2" applyFont="1" applyAlignment="1">
      <alignment horizontal="center"/>
    </xf>
    <xf numFmtId="0" fontId="18" fillId="0" borderId="0" xfId="2" applyFont="1" applyBorder="1" applyAlignment="1">
      <alignment horizontal="center"/>
    </xf>
    <xf numFmtId="0" fontId="18" fillId="2" borderId="0" xfId="2" applyFont="1" applyFill="1" applyAlignment="1">
      <alignment horizontal="center"/>
    </xf>
    <xf numFmtId="41" fontId="19" fillId="0" borderId="0" xfId="1" applyNumberFormat="1" applyFont="1" applyFill="1"/>
    <xf numFmtId="41" fontId="18" fillId="0" borderId="0" xfId="1" applyNumberFormat="1" applyFont="1" applyFill="1"/>
    <xf numFmtId="41" fontId="18" fillId="0" borderId="0" xfId="1" applyNumberFormat="1" applyFont="1"/>
    <xf numFmtId="41" fontId="18" fillId="0" borderId="3" xfId="1" applyNumberFormat="1" applyFont="1" applyBorder="1"/>
    <xf numFmtId="41" fontId="18" fillId="0" borderId="0" xfId="1" applyNumberFormat="1" applyFont="1" applyBorder="1"/>
    <xf numFmtId="0" fontId="23" fillId="0" borderId="0" xfId="0" applyFont="1"/>
    <xf numFmtId="38" fontId="23" fillId="0" borderId="0" xfId="0" applyNumberFormat="1" applyFont="1"/>
    <xf numFmtId="38" fontId="23" fillId="0" borderId="0" xfId="1" applyNumberFormat="1" applyFont="1"/>
    <xf numFmtId="38" fontId="23" fillId="0" borderId="3" xfId="0" applyNumberFormat="1" applyFont="1" applyBorder="1"/>
    <xf numFmtId="165" fontId="23" fillId="0" borderId="0" xfId="0" applyNumberFormat="1" applyFont="1" applyAlignment="1">
      <alignment horizontal="left"/>
    </xf>
    <xf numFmtId="1" fontId="23" fillId="0" borderId="0" xfId="0" applyNumberFormat="1" applyFont="1" applyAlignment="1">
      <alignment horizontal="left"/>
    </xf>
    <xf numFmtId="0" fontId="23" fillId="0" borderId="0" xfId="0" applyFont="1" applyFill="1"/>
    <xf numFmtId="0" fontId="18" fillId="0" borderId="0" xfId="0" applyFont="1" applyFill="1"/>
    <xf numFmtId="0" fontId="24" fillId="0" borderId="0" xfId="0" applyFont="1"/>
    <xf numFmtId="0" fontId="25" fillId="0" borderId="0" xfId="0" applyFont="1"/>
    <xf numFmtId="38" fontId="25" fillId="0" borderId="0" xfId="1" applyNumberFormat="1" applyFont="1"/>
    <xf numFmtId="0" fontId="24" fillId="0" borderId="0" xfId="0" applyFont="1" applyFill="1"/>
    <xf numFmtId="0" fontId="23" fillId="0" borderId="0" xfId="2" applyFont="1"/>
    <xf numFmtId="41" fontId="25" fillId="0" borderId="0" xfId="0" applyNumberFormat="1" applyFont="1"/>
    <xf numFmtId="41" fontId="25" fillId="0" borderId="0" xfId="1" applyNumberFormat="1" applyFont="1"/>
    <xf numFmtId="9" fontId="25" fillId="0" borderId="0" xfId="4" applyFont="1"/>
    <xf numFmtId="41" fontId="25" fillId="0" borderId="0" xfId="1" applyNumberFormat="1" applyFont="1" applyAlignment="1">
      <alignment horizontal="center"/>
    </xf>
    <xf numFmtId="41" fontId="23" fillId="0" borderId="0" xfId="0" applyNumberFormat="1" applyFont="1"/>
    <xf numFmtId="0" fontId="19" fillId="0" borderId="0" xfId="2" applyFont="1" applyAlignment="1">
      <alignment horizontal="left"/>
    </xf>
    <xf numFmtId="16" fontId="19" fillId="0" borderId="0" xfId="2" applyNumberFormat="1" applyFont="1" applyAlignment="1">
      <alignment horizontal="left"/>
    </xf>
    <xf numFmtId="0" fontId="26" fillId="0" borderId="0" xfId="0" applyFont="1"/>
    <xf numFmtId="41" fontId="26" fillId="0" borderId="0" xfId="0" applyNumberFormat="1" applyFont="1"/>
    <xf numFmtId="166" fontId="23" fillId="0" borderId="0" xfId="0" applyNumberFormat="1" applyFont="1"/>
    <xf numFmtId="167" fontId="23" fillId="0" borderId="0" xfId="0" applyNumberFormat="1" applyFont="1"/>
    <xf numFmtId="41" fontId="24" fillId="0" borderId="0" xfId="1" applyNumberFormat="1" applyFont="1" applyAlignment="1">
      <alignment horizontal="center"/>
    </xf>
    <xf numFmtId="41" fontId="19" fillId="0" borderId="0" xfId="1" applyNumberFormat="1" applyFont="1" applyBorder="1"/>
    <xf numFmtId="43" fontId="18" fillId="0" borderId="0" xfId="2" applyNumberFormat="1" applyFont="1"/>
    <xf numFmtId="41" fontId="19" fillId="0" borderId="3" xfId="1" applyNumberFormat="1" applyFont="1" applyBorder="1"/>
    <xf numFmtId="41" fontId="24" fillId="0" borderId="0" xfId="0" applyNumberFormat="1" applyFont="1"/>
    <xf numFmtId="0" fontId="19" fillId="0" borderId="0" xfId="2" applyFont="1" applyAlignment="1">
      <alignment horizontal="center"/>
    </xf>
    <xf numFmtId="41" fontId="18" fillId="0" borderId="0" xfId="2" applyNumberFormat="1" applyFont="1" applyBorder="1"/>
    <xf numFmtId="0" fontId="19" fillId="0" borderId="0" xfId="2" applyFont="1" applyAlignment="1">
      <alignment horizontal="center"/>
    </xf>
    <xf numFmtId="41" fontId="25" fillId="0" borderId="0" xfId="1" applyNumberFormat="1" applyFont="1" applyFill="1"/>
    <xf numFmtId="41" fontId="18" fillId="0" borderId="0" xfId="1" applyNumberFormat="1" applyFont="1" applyFill="1" applyBorder="1"/>
    <xf numFmtId="43" fontId="18" fillId="0" borderId="0" xfId="2" applyNumberFormat="1" applyFont="1" applyBorder="1"/>
    <xf numFmtId="0" fontId="23" fillId="3" borderId="0" xfId="0" applyFont="1" applyFill="1"/>
    <xf numFmtId="0" fontId="18" fillId="3" borderId="0" xfId="2" applyFont="1" applyFill="1" applyAlignment="1">
      <alignment horizontal="center"/>
    </xf>
    <xf numFmtId="41" fontId="24" fillId="0" borderId="0" xfId="1" applyNumberFormat="1" applyFont="1" applyFill="1" applyAlignment="1">
      <alignment horizontal="center"/>
    </xf>
    <xf numFmtId="0" fontId="18" fillId="0" borderId="0" xfId="2" applyFont="1" applyFill="1" applyAlignment="1">
      <alignment horizontal="center"/>
    </xf>
    <xf numFmtId="0" fontId="18" fillId="0" borderId="0" xfId="2" applyFont="1" applyFill="1"/>
    <xf numFmtId="41" fontId="18" fillId="0" borderId="0" xfId="2" applyNumberFormat="1" applyFont="1" applyFill="1"/>
    <xf numFmtId="0" fontId="19" fillId="0" borderId="0" xfId="2" applyFont="1" applyFill="1" applyAlignment="1">
      <alignment horizontal="right"/>
    </xf>
    <xf numFmtId="166" fontId="23" fillId="0" borderId="0" xfId="0" applyNumberFormat="1" applyFont="1" applyFill="1"/>
    <xf numFmtId="167" fontId="23" fillId="0" borderId="0" xfId="0" applyNumberFormat="1" applyFont="1" applyFill="1"/>
    <xf numFmtId="41" fontId="19" fillId="0" borderId="0" xfId="1" applyNumberFormat="1" applyFont="1" applyFill="1" applyBorder="1" applyAlignment="1">
      <alignment vertical="center"/>
    </xf>
    <xf numFmtId="41" fontId="19" fillId="0" borderId="0" xfId="1" applyNumberFormat="1" applyFont="1" applyFill="1" applyBorder="1"/>
    <xf numFmtId="41" fontId="19" fillId="0" borderId="0" xfId="1" applyNumberFormat="1" applyFont="1" applyFill="1" applyBorder="1" applyAlignment="1"/>
    <xf numFmtId="49" fontId="29" fillId="0" borderId="0" xfId="0" applyNumberFormat="1" applyFont="1" applyAlignment="1">
      <alignment horizontal="left"/>
    </xf>
    <xf numFmtId="166" fontId="29" fillId="0" borderId="0" xfId="0" applyNumberFormat="1" applyFont="1" applyAlignment="1">
      <alignment horizontal="left"/>
    </xf>
    <xf numFmtId="167" fontId="29" fillId="0" borderId="0" xfId="0" applyNumberFormat="1" applyFont="1" applyAlignment="1">
      <alignment horizontal="left"/>
    </xf>
    <xf numFmtId="0" fontId="29" fillId="0" borderId="0" xfId="0" applyFont="1"/>
    <xf numFmtId="41" fontId="29" fillId="0" borderId="0" xfId="0" applyNumberFormat="1" applyFont="1"/>
    <xf numFmtId="41" fontId="29" fillId="0" borderId="0" xfId="0" applyNumberFormat="1" applyFont="1" applyFill="1" applyBorder="1"/>
    <xf numFmtId="49" fontId="29" fillId="0" borderId="0" xfId="0" applyNumberFormat="1" applyFont="1" applyFill="1" applyAlignment="1">
      <alignment horizontal="left"/>
    </xf>
    <xf numFmtId="0" fontId="29" fillId="0" borderId="0" xfId="0" applyFont="1" applyFill="1"/>
    <xf numFmtId="41" fontId="29" fillId="0" borderId="0" xfId="0" applyNumberFormat="1" applyFont="1" applyFill="1"/>
    <xf numFmtId="41" fontId="25" fillId="0" borderId="0" xfId="0" applyNumberFormat="1" applyFont="1" applyFill="1"/>
    <xf numFmtId="49" fontId="23" fillId="0" borderId="0" xfId="0" applyNumberFormat="1" applyFont="1" applyFill="1"/>
    <xf numFmtId="41" fontId="25" fillId="0" borderId="0" xfId="0" applyNumberFormat="1" applyFont="1" applyAlignment="1">
      <alignment horizontal="left" indent="1"/>
    </xf>
    <xf numFmtId="41" fontId="19" fillId="0" borderId="4" xfId="1" applyNumberFormat="1" applyFont="1" applyFill="1" applyBorder="1"/>
    <xf numFmtId="38" fontId="18" fillId="0" borderId="0" xfId="1" applyNumberFormat="1" applyFont="1"/>
    <xf numFmtId="38" fontId="18" fillId="0" borderId="0" xfId="2" applyNumberFormat="1" applyFont="1"/>
    <xf numFmtId="164" fontId="31" fillId="0" borderId="0" xfId="0" applyNumberFormat="1" applyFont="1" applyFill="1" applyAlignment="1" applyProtection="1">
      <alignment horizontal="center"/>
      <protection locked="0"/>
    </xf>
    <xf numFmtId="164" fontId="31" fillId="0" borderId="0" xfId="0" applyNumberFormat="1" applyFont="1" applyFill="1" applyAlignment="1" applyProtection="1">
      <alignment horizontal="left"/>
      <protection locked="0"/>
    </xf>
    <xf numFmtId="164" fontId="31" fillId="0" borderId="1" xfId="0" applyNumberFormat="1" applyFont="1" applyFill="1" applyBorder="1" applyAlignment="1" applyProtection="1">
      <alignment horizontal="center"/>
      <protection locked="0"/>
    </xf>
    <xf numFmtId="0" fontId="32" fillId="0" borderId="1" xfId="0" applyFont="1" applyFill="1" applyBorder="1" applyAlignment="1">
      <alignment horizontal="center"/>
    </xf>
    <xf numFmtId="0" fontId="33" fillId="0" borderId="0" xfId="0" applyFont="1" applyFill="1"/>
    <xf numFmtId="43" fontId="33" fillId="0" borderId="0" xfId="9" applyNumberFormat="1" applyFont="1" applyFill="1"/>
    <xf numFmtId="38" fontId="33" fillId="0" borderId="0" xfId="1" applyNumberFormat="1" applyFont="1" applyFill="1" applyProtection="1">
      <protection locked="0"/>
    </xf>
    <xf numFmtId="0" fontId="33" fillId="0" borderId="6" xfId="3" applyFont="1" applyFill="1" applyBorder="1"/>
    <xf numFmtId="0" fontId="30" fillId="0" borderId="0" xfId="0" applyFont="1" applyFill="1"/>
    <xf numFmtId="0" fontId="32" fillId="0" borderId="7" xfId="0" applyFont="1" applyFill="1" applyBorder="1"/>
    <xf numFmtId="0" fontId="31" fillId="0" borderId="2" xfId="0" applyFont="1" applyFill="1" applyBorder="1"/>
    <xf numFmtId="38" fontId="32" fillId="0" borderId="0" xfId="1" applyNumberFormat="1" applyFont="1" applyFill="1"/>
    <xf numFmtId="0" fontId="32" fillId="0" borderId="7" xfId="0" quotePrefix="1" applyFont="1" applyFill="1" applyBorder="1"/>
    <xf numFmtId="0" fontId="32" fillId="0" borderId="0" xfId="0" applyFont="1" applyFill="1"/>
    <xf numFmtId="38" fontId="30" fillId="0" borderId="0" xfId="1" applyNumberFormat="1" applyFont="1" applyFill="1"/>
    <xf numFmtId="0" fontId="33" fillId="0" borderId="0" xfId="3" applyFont="1" applyFill="1" applyBorder="1"/>
    <xf numFmtId="43" fontId="33" fillId="0" borderId="0" xfId="9" applyFont="1" applyFill="1"/>
    <xf numFmtId="38" fontId="32" fillId="0" borderId="3" xfId="0" applyNumberFormat="1" applyFont="1" applyFill="1" applyBorder="1" applyAlignment="1">
      <alignment horizontal="center"/>
    </xf>
    <xf numFmtId="0" fontId="30" fillId="0" borderId="0" xfId="0" applyFont="1" applyFill="1" applyBorder="1"/>
    <xf numFmtId="0" fontId="30" fillId="0" borderId="5" xfId="0" applyFont="1" applyFill="1" applyBorder="1"/>
    <xf numFmtId="1" fontId="32" fillId="0" borderId="6" xfId="0" applyNumberFormat="1" applyFont="1" applyFill="1" applyBorder="1" applyAlignment="1">
      <alignment horizontal="left"/>
    </xf>
    <xf numFmtId="1" fontId="32" fillId="0" borderId="7" xfId="0" applyNumberFormat="1" applyFont="1" applyFill="1" applyBorder="1" applyAlignment="1">
      <alignment horizontal="left"/>
    </xf>
    <xf numFmtId="38" fontId="32" fillId="0" borderId="3" xfId="0" applyNumberFormat="1" applyFont="1" applyFill="1" applyBorder="1"/>
    <xf numFmtId="43" fontId="25" fillId="0" borderId="0" xfId="0" applyNumberFormat="1" applyFont="1" applyAlignment="1">
      <alignment horizontal="left" indent="1"/>
    </xf>
    <xf numFmtId="40" fontId="30" fillId="0" borderId="0" xfId="1" applyFont="1" applyFill="1"/>
    <xf numFmtId="49" fontId="23" fillId="0" borderId="0" xfId="0" applyNumberFormat="1" applyFont="1"/>
    <xf numFmtId="49" fontId="29" fillId="0" borderId="0" xfId="68" applyNumberFormat="1" applyFont="1" applyFill="1" applyAlignment="1">
      <alignment horizontal="left"/>
    </xf>
    <xf numFmtId="0" fontId="29" fillId="0" borderId="0" xfId="68" applyFont="1" applyFill="1"/>
    <xf numFmtId="38" fontId="23" fillId="0" borderId="0" xfId="0" applyNumberFormat="1" applyFont="1" applyFill="1"/>
    <xf numFmtId="0" fontId="22" fillId="0" borderId="0" xfId="2" applyFont="1" applyFill="1"/>
    <xf numFmtId="41" fontId="18" fillId="0" borderId="3" xfId="1" applyNumberFormat="1" applyFont="1" applyFill="1" applyBorder="1"/>
    <xf numFmtId="0" fontId="20" fillId="0" borderId="0" xfId="2" applyFont="1" applyFill="1"/>
    <xf numFmtId="169" fontId="25" fillId="0" borderId="0" xfId="1" applyNumberFormat="1" applyFont="1" applyFill="1"/>
    <xf numFmtId="166" fontId="29" fillId="0" borderId="0" xfId="0" applyNumberFormat="1" applyFont="1" applyFill="1" applyAlignment="1">
      <alignment horizontal="left"/>
    </xf>
    <xf numFmtId="167" fontId="29" fillId="0" borderId="0" xfId="0" applyNumberFormat="1" applyFont="1" applyFill="1" applyAlignment="1">
      <alignment horizontal="left"/>
    </xf>
    <xf numFmtId="49" fontId="30" fillId="0" borderId="0" xfId="1" applyNumberFormat="1" applyFont="1" applyFill="1" applyAlignment="1">
      <alignment horizontal="center"/>
    </xf>
    <xf numFmtId="0" fontId="31" fillId="0" borderId="0" xfId="0" applyFont="1" applyFill="1" applyBorder="1"/>
    <xf numFmtId="40" fontId="31" fillId="0" borderId="0" xfId="0" applyNumberFormat="1" applyFont="1" applyFill="1" applyBorder="1"/>
    <xf numFmtId="40" fontId="33" fillId="0" borderId="0" xfId="0" applyNumberFormat="1" applyFont="1" applyFill="1"/>
    <xf numFmtId="9" fontId="24" fillId="0" borderId="0" xfId="1" applyNumberFormat="1" applyFont="1" applyFill="1" applyAlignment="1">
      <alignment horizontal="center"/>
    </xf>
    <xf numFmtId="38" fontId="32" fillId="0" borderId="0" xfId="1" applyNumberFormat="1" applyFont="1" applyFill="1" applyAlignment="1">
      <alignment horizontal="center"/>
    </xf>
    <xf numFmtId="38" fontId="33" fillId="0" borderId="0" xfId="1" applyNumberFormat="1" applyFont="1" applyFill="1" applyAlignment="1" applyProtection="1">
      <alignment horizontal="center"/>
      <protection locked="0"/>
    </xf>
    <xf numFmtId="38" fontId="32" fillId="0" borderId="0" xfId="0" applyNumberFormat="1" applyFont="1" applyFill="1" applyBorder="1" applyAlignment="1">
      <alignment horizontal="center"/>
    </xf>
    <xf numFmtId="41" fontId="24" fillId="0" borderId="0" xfId="0" applyNumberFormat="1" applyFont="1" applyFill="1"/>
    <xf numFmtId="9" fontId="25" fillId="0" borderId="0" xfId="4" applyFont="1" applyFill="1"/>
    <xf numFmtId="41" fontId="24" fillId="0" borderId="0" xfId="1" applyNumberFormat="1" applyFont="1" applyFill="1"/>
    <xf numFmtId="40" fontId="31" fillId="0" borderId="0" xfId="1" applyFont="1" applyFill="1" applyProtection="1">
      <protection locked="0"/>
    </xf>
    <xf numFmtId="40" fontId="30" fillId="0" borderId="0" xfId="1" applyNumberFormat="1" applyFont="1" applyFill="1"/>
    <xf numFmtId="40" fontId="30" fillId="0" borderId="0" xfId="0" applyNumberFormat="1" applyFont="1" applyFill="1"/>
    <xf numFmtId="38" fontId="30" fillId="0" borderId="0" xfId="0" applyNumberFormat="1" applyFont="1" applyFill="1"/>
    <xf numFmtId="41" fontId="18" fillId="0" borderId="2" xfId="1" applyNumberFormat="1" applyFont="1" applyFill="1" applyBorder="1"/>
    <xf numFmtId="0" fontId="2" fillId="0" borderId="0" xfId="80"/>
    <xf numFmtId="0" fontId="36" fillId="0" borderId="0" xfId="80" applyFont="1"/>
    <xf numFmtId="41" fontId="2" fillId="0" borderId="0" xfId="80" applyNumberFormat="1" applyFill="1"/>
    <xf numFmtId="0" fontId="2" fillId="0" borderId="0" xfId="80" applyFill="1"/>
    <xf numFmtId="49" fontId="2" fillId="0" borderId="0" xfId="80" applyNumberFormat="1" applyFill="1"/>
    <xf numFmtId="41" fontId="37" fillId="0" borderId="0" xfId="80" applyNumberFormat="1" applyFont="1" applyFill="1" applyAlignment="1">
      <alignment horizontal="center" vertical="center"/>
    </xf>
    <xf numFmtId="49" fontId="2" fillId="0" borderId="0" xfId="80" applyNumberFormat="1" applyAlignment="1">
      <alignment horizontal="left"/>
    </xf>
    <xf numFmtId="41" fontId="2" fillId="0" borderId="0" xfId="80" applyNumberFormat="1"/>
    <xf numFmtId="49" fontId="2" fillId="0" borderId="0" xfId="80" applyNumberFormat="1" applyFill="1" applyAlignment="1">
      <alignment horizontal="left"/>
    </xf>
    <xf numFmtId="49" fontId="2" fillId="3" borderId="0" xfId="80" applyNumberFormat="1" applyFill="1" applyAlignment="1">
      <alignment horizontal="left"/>
    </xf>
    <xf numFmtId="0" fontId="2" fillId="3" borderId="0" xfId="80" applyFill="1"/>
    <xf numFmtId="41" fontId="2" fillId="3" borderId="0" xfId="80" applyNumberFormat="1" applyFill="1"/>
    <xf numFmtId="49" fontId="29" fillId="3" borderId="0" xfId="68" applyNumberFormat="1" applyFont="1" applyFill="1" applyAlignment="1">
      <alignment horizontal="left"/>
    </xf>
    <xf numFmtId="0" fontId="18" fillId="3" borderId="0" xfId="2" applyFont="1" applyFill="1"/>
    <xf numFmtId="41" fontId="25" fillId="3" borderId="0" xfId="0" applyNumberFormat="1" applyFont="1" applyFill="1"/>
    <xf numFmtId="41" fontId="24" fillId="3" borderId="0" xfId="1" applyNumberFormat="1" applyFont="1" applyFill="1" applyAlignment="1">
      <alignment horizontal="center"/>
    </xf>
    <xf numFmtId="0" fontId="29" fillId="3" borderId="0" xfId="68" applyFont="1" applyFill="1"/>
    <xf numFmtId="0" fontId="30" fillId="0" borderId="0" xfId="0" applyFont="1" applyFill="1" applyAlignment="1">
      <alignment horizontal="center"/>
    </xf>
    <xf numFmtId="0" fontId="32" fillId="0" borderId="0" xfId="0" applyFont="1" applyFill="1" applyAlignment="1">
      <alignment horizontal="center"/>
    </xf>
    <xf numFmtId="10" fontId="30" fillId="0" borderId="0" xfId="4" applyNumberFormat="1" applyFont="1" applyFill="1"/>
    <xf numFmtId="10" fontId="30" fillId="0" borderId="0" xfId="4" applyNumberFormat="1" applyFont="1" applyFill="1" applyAlignment="1">
      <alignment horizontal="center"/>
    </xf>
    <xf numFmtId="38" fontId="31" fillId="0" borderId="0" xfId="1" applyNumberFormat="1" applyFont="1" applyFill="1" applyAlignment="1" applyProtection="1">
      <alignment horizontal="center"/>
      <protection locked="0"/>
    </xf>
    <xf numFmtId="0" fontId="30" fillId="0" borderId="1" xfId="0" applyFont="1" applyFill="1" applyBorder="1" applyAlignment="1">
      <alignment horizontal="center"/>
    </xf>
    <xf numFmtId="38" fontId="33" fillId="0" borderId="0" xfId="1" applyNumberFormat="1" applyFont="1" applyFill="1"/>
    <xf numFmtId="38" fontId="30" fillId="0" borderId="0" xfId="1" applyNumberFormat="1" applyFont="1" applyFill="1" applyAlignment="1">
      <alignment horizontal="center"/>
    </xf>
    <xf numFmtId="0" fontId="30" fillId="0" borderId="7" xfId="0" applyFont="1" applyFill="1" applyBorder="1" applyAlignment="1">
      <alignment horizontal="center"/>
    </xf>
    <xf numFmtId="38" fontId="33" fillId="0" borderId="0" xfId="1" applyNumberFormat="1" applyFont="1" applyFill="1" applyAlignment="1">
      <alignment horizontal="center"/>
    </xf>
    <xf numFmtId="170" fontId="33" fillId="0" borderId="0" xfId="1" applyNumberFormat="1" applyFont="1" applyFill="1" applyProtection="1">
      <protection locked="0"/>
    </xf>
    <xf numFmtId="0" fontId="30" fillId="0" borderId="8" xfId="0" applyFont="1" applyFill="1" applyBorder="1" applyAlignment="1">
      <alignment horizontal="center"/>
    </xf>
    <xf numFmtId="0" fontId="30" fillId="0" borderId="0" xfId="0" applyFont="1" applyFill="1" applyBorder="1" applyAlignment="1">
      <alignment horizontal="center"/>
    </xf>
    <xf numFmtId="38" fontId="33" fillId="0" borderId="0" xfId="1" applyNumberFormat="1" applyFont="1" applyFill="1" applyBorder="1" applyAlignment="1" applyProtection="1">
      <alignment horizontal="center"/>
      <protection locked="0"/>
    </xf>
    <xf numFmtId="38" fontId="32" fillId="0" borderId="2" xfId="1" applyNumberFormat="1" applyFont="1" applyFill="1" applyBorder="1"/>
    <xf numFmtId="38" fontId="33" fillId="0" borderId="0" xfId="0" applyNumberFormat="1" applyFont="1" applyFill="1" applyAlignment="1">
      <alignment horizontal="center"/>
    </xf>
    <xf numFmtId="0" fontId="36" fillId="0" borderId="0" xfId="81" applyFont="1"/>
    <xf numFmtId="16" fontId="36" fillId="0" borderId="0" xfId="81" applyNumberFormat="1" applyFont="1"/>
    <xf numFmtId="16" fontId="38" fillId="0" borderId="0" xfId="81" applyNumberFormat="1" applyFont="1"/>
    <xf numFmtId="0" fontId="1" fillId="0" borderId="0" xfId="81"/>
    <xf numFmtId="41" fontId="1" fillId="0" borderId="0" xfId="81" applyNumberFormat="1"/>
    <xf numFmtId="41" fontId="39" fillId="0" borderId="0" xfId="81" applyNumberFormat="1" applyFont="1"/>
    <xf numFmtId="41" fontId="36" fillId="0" borderId="0" xfId="81" applyNumberFormat="1" applyFont="1"/>
    <xf numFmtId="41" fontId="38" fillId="0" borderId="0" xfId="81" applyNumberFormat="1" applyFont="1"/>
    <xf numFmtId="168" fontId="36" fillId="0" borderId="0" xfId="81" applyNumberFormat="1" applyFont="1"/>
    <xf numFmtId="168" fontId="1" fillId="0" borderId="0" xfId="81" applyNumberFormat="1"/>
    <xf numFmtId="43" fontId="36" fillId="0" borderId="0" xfId="81" applyNumberFormat="1" applyFont="1"/>
    <xf numFmtId="0" fontId="42" fillId="0" borderId="0" xfId="82" applyFont="1" applyAlignment="1">
      <alignment horizontal="center"/>
    </xf>
    <xf numFmtId="0" fontId="40" fillId="0" borderId="0" xfId="82"/>
    <xf numFmtId="49" fontId="46" fillId="0" borderId="13" xfId="82" applyNumberFormat="1" applyFont="1" applyBorder="1" applyAlignment="1">
      <alignment horizontal="center"/>
    </xf>
    <xf numFmtId="49" fontId="47" fillId="0" borderId="0" xfId="82" applyNumberFormat="1" applyFont="1" applyAlignment="1">
      <alignment horizontal="center"/>
    </xf>
    <xf numFmtId="0" fontId="47" fillId="0" borderId="0" xfId="82" applyFont="1"/>
    <xf numFmtId="0" fontId="48" fillId="0" borderId="14" xfId="82" applyFont="1" applyBorder="1" applyAlignment="1">
      <alignment horizontal="center" wrapText="1"/>
    </xf>
    <xf numFmtId="49" fontId="48" fillId="0" borderId="14" xfId="82" applyNumberFormat="1" applyFont="1" applyBorder="1" applyAlignment="1">
      <alignment horizontal="center" wrapText="1"/>
    </xf>
    <xf numFmtId="49" fontId="49" fillId="0" borderId="14" xfId="82" applyNumberFormat="1" applyFont="1" applyBorder="1" applyAlignment="1">
      <alignment horizontal="center" wrapText="1"/>
    </xf>
    <xf numFmtId="0" fontId="50" fillId="0" borderId="13" xfId="82" applyFont="1" applyBorder="1" applyAlignment="1">
      <alignment horizontal="center"/>
    </xf>
    <xf numFmtId="0" fontId="44" fillId="0" borderId="13" xfId="82" applyFont="1" applyBorder="1" applyAlignment="1">
      <alignment wrapText="1"/>
    </xf>
    <xf numFmtId="0" fontId="40" fillId="0" borderId="13" xfId="82" applyBorder="1"/>
    <xf numFmtId="43" fontId="50" fillId="0" borderId="13" xfId="82" applyNumberFormat="1" applyFont="1" applyBorder="1" applyAlignment="1">
      <alignment horizontal="center"/>
    </xf>
    <xf numFmtId="9" fontId="50" fillId="0" borderId="13" xfId="82" applyNumberFormat="1" applyFont="1" applyBorder="1" applyAlignment="1">
      <alignment horizontal="center"/>
    </xf>
    <xf numFmtId="0" fontId="44" fillId="0" borderId="13" xfId="82" applyFont="1" applyBorder="1"/>
    <xf numFmtId="0" fontId="52" fillId="0" borderId="13" xfId="82" applyFont="1" applyBorder="1" applyAlignment="1">
      <alignment wrapText="1"/>
    </xf>
    <xf numFmtId="43" fontId="53" fillId="0" borderId="13" xfId="82" applyNumberFormat="1" applyFont="1" applyBorder="1" applyAlignment="1">
      <alignment horizontal="center"/>
    </xf>
    <xf numFmtId="43" fontId="40" fillId="0" borderId="0" xfId="82" applyNumberFormat="1"/>
    <xf numFmtId="8" fontId="44" fillId="0" borderId="13" xfId="82" applyNumberFormat="1" applyFont="1" applyBorder="1"/>
    <xf numFmtId="0" fontId="44" fillId="0" borderId="13" xfId="82" applyFont="1" applyBorder="1" applyAlignment="1">
      <alignment vertical="top" wrapText="1"/>
    </xf>
    <xf numFmtId="0" fontId="53" fillId="0" borderId="13" xfId="82" applyFont="1" applyBorder="1" applyAlignment="1">
      <alignment horizontal="center"/>
    </xf>
    <xf numFmtId="0" fontId="52" fillId="0" borderId="13" xfId="82" applyFont="1" applyBorder="1"/>
    <xf numFmtId="9" fontId="53" fillId="0" borderId="13" xfId="82" applyNumberFormat="1" applyFont="1" applyBorder="1" applyAlignment="1">
      <alignment horizontal="center"/>
    </xf>
    <xf numFmtId="44" fontId="44" fillId="0" borderId="13" xfId="82" applyNumberFormat="1" applyFont="1" applyBorder="1"/>
    <xf numFmtId="8" fontId="44" fillId="0" borderId="13" xfId="82" applyNumberFormat="1" applyFont="1" applyBorder="1" applyAlignment="1">
      <alignment wrapText="1"/>
    </xf>
    <xf numFmtId="43" fontId="46" fillId="0" borderId="13" xfId="82" applyNumberFormat="1" applyFont="1" applyBorder="1" applyAlignment="1">
      <alignment horizontal="left"/>
    </xf>
    <xf numFmtId="0" fontId="55" fillId="0" borderId="0" xfId="82" applyFont="1" applyAlignment="1">
      <alignment vertical="center"/>
    </xf>
    <xf numFmtId="0" fontId="56" fillId="0" borderId="0" xfId="82" applyFont="1" applyAlignment="1">
      <alignment wrapText="1"/>
    </xf>
    <xf numFmtId="0" fontId="44" fillId="0" borderId="0" xfId="82" applyFont="1"/>
    <xf numFmtId="0" fontId="55" fillId="0" borderId="0" xfId="82" applyFont="1"/>
    <xf numFmtId="0" fontId="58" fillId="0" borderId="0" xfId="82" applyFont="1"/>
    <xf numFmtId="49" fontId="58" fillId="0" borderId="0" xfId="82" applyNumberFormat="1" applyFont="1" applyAlignment="1">
      <alignment vertical="top"/>
    </xf>
    <xf numFmtId="0" fontId="18" fillId="3" borderId="0" xfId="2" applyFont="1" applyFill="1" applyBorder="1"/>
    <xf numFmtId="0" fontId="18" fillId="0" borderId="0" xfId="2" applyFont="1" applyFill="1" applyBorder="1"/>
    <xf numFmtId="0" fontId="19" fillId="0" borderId="0" xfId="0" applyFont="1" applyAlignment="1"/>
    <xf numFmtId="41" fontId="19" fillId="0" borderId="19" xfId="1" applyNumberFormat="1" applyFont="1" applyBorder="1"/>
    <xf numFmtId="0" fontId="19" fillId="0" borderId="0" xfId="2" applyFont="1" applyAlignment="1">
      <alignment horizontal="left" wrapText="1"/>
    </xf>
    <xf numFmtId="0" fontId="18" fillId="0" borderId="0" xfId="2" applyFont="1" applyAlignment="1">
      <alignment horizontal="left" wrapText="1"/>
    </xf>
    <xf numFmtId="0" fontId="32" fillId="0" borderId="0" xfId="0" applyFont="1" applyFill="1" applyAlignment="1">
      <alignment horizontal="center"/>
    </xf>
    <xf numFmtId="10" fontId="30" fillId="0" borderId="0" xfId="4" applyNumberFormat="1" applyFont="1" applyFill="1" applyAlignment="1">
      <alignment horizontal="center"/>
    </xf>
    <xf numFmtId="0" fontId="32" fillId="0" borderId="8" xfId="0" applyFont="1" applyFill="1" applyBorder="1" applyAlignment="1">
      <alignment horizontal="center" wrapText="1"/>
    </xf>
    <xf numFmtId="0" fontId="32" fillId="0" borderId="9" xfId="0" applyFont="1" applyFill="1" applyBorder="1" applyAlignment="1">
      <alignment horizontal="center" wrapText="1"/>
    </xf>
    <xf numFmtId="0" fontId="32" fillId="0" borderId="8" xfId="0" applyFont="1" applyFill="1" applyBorder="1" applyAlignment="1">
      <alignment horizontal="center"/>
    </xf>
    <xf numFmtId="0" fontId="32" fillId="3" borderId="9" xfId="0" applyFont="1" applyFill="1" applyBorder="1" applyAlignment="1">
      <alignment horizontal="center"/>
    </xf>
    <xf numFmtId="0" fontId="31" fillId="0" borderId="0" xfId="0" applyFont="1" applyFill="1" applyAlignment="1">
      <alignment horizontal="left"/>
    </xf>
    <xf numFmtId="38" fontId="31" fillId="0" borderId="0" xfId="0" applyNumberFormat="1" applyFont="1" applyFill="1" applyAlignment="1">
      <alignment horizontal="center"/>
    </xf>
    <xf numFmtId="0" fontId="58" fillId="0" borderId="0" xfId="82" applyFont="1" applyAlignment="1">
      <alignment horizontal="left"/>
    </xf>
    <xf numFmtId="0" fontId="40" fillId="0" borderId="0" xfId="82"/>
    <xf numFmtId="49" fontId="58" fillId="0" borderId="0" xfId="82" applyNumberFormat="1" applyFont="1" applyAlignment="1">
      <alignment horizontal="left" vertical="top"/>
    </xf>
    <xf numFmtId="0" fontId="57" fillId="0" borderId="0" xfId="82" applyFont="1" applyAlignment="1">
      <alignment horizontal="left"/>
    </xf>
    <xf numFmtId="0" fontId="44" fillId="0" borderId="11" xfId="82" applyFont="1" applyBorder="1" applyAlignment="1">
      <alignment horizontal="left"/>
    </xf>
    <xf numFmtId="0" fontId="45" fillId="0" borderId="11" xfId="82" applyFont="1" applyBorder="1"/>
    <xf numFmtId="0" fontId="55" fillId="0" borderId="0" xfId="82" applyFont="1" applyAlignment="1">
      <alignment horizontal="left"/>
    </xf>
    <xf numFmtId="0" fontId="56" fillId="0" borderId="0" xfId="82" applyFont="1" applyAlignment="1">
      <alignment horizontal="left" wrapText="1"/>
    </xf>
    <xf numFmtId="0" fontId="44" fillId="0" borderId="10" xfId="82" applyFont="1" applyBorder="1" applyAlignment="1">
      <alignment horizontal="left"/>
    </xf>
    <xf numFmtId="0" fontId="45" fillId="0" borderId="10" xfId="82" applyFont="1" applyBorder="1"/>
    <xf numFmtId="0" fontId="44" fillId="0" borderId="12" xfId="82" applyFont="1" applyBorder="1" applyAlignment="1">
      <alignment horizontal="center" vertical="center"/>
    </xf>
    <xf numFmtId="0" fontId="45" fillId="0" borderId="12" xfId="82" applyFont="1" applyBorder="1"/>
    <xf numFmtId="0" fontId="46" fillId="4" borderId="15" xfId="82" applyFont="1" applyFill="1" applyBorder="1" applyAlignment="1">
      <alignment horizontal="right"/>
    </xf>
    <xf numFmtId="0" fontId="45" fillId="0" borderId="16" xfId="82" applyFont="1" applyBorder="1"/>
    <xf numFmtId="0" fontId="45" fillId="0" borderId="17" xfId="82" applyFont="1" applyBorder="1"/>
    <xf numFmtId="0" fontId="46" fillId="0" borderId="15" xfId="82" applyFont="1" applyBorder="1" applyAlignment="1">
      <alignment horizontal="center"/>
    </xf>
    <xf numFmtId="0" fontId="54" fillId="0" borderId="18" xfId="82" applyFont="1" applyBorder="1" applyAlignment="1">
      <alignment horizontal="left"/>
    </xf>
    <xf numFmtId="0" fontId="45" fillId="0" borderId="18" xfId="82" applyFont="1" applyBorder="1"/>
    <xf numFmtId="49" fontId="54" fillId="0" borderId="0" xfId="82" applyNumberFormat="1" applyFont="1" applyAlignment="1">
      <alignment horizontal="left"/>
    </xf>
    <xf numFmtId="0" fontId="55" fillId="0" borderId="0" xfId="82" applyFont="1" applyAlignment="1">
      <alignment horizontal="left" vertical="center" wrapText="1"/>
    </xf>
    <xf numFmtId="0" fontId="43" fillId="0" borderId="0" xfId="82" applyFont="1" applyAlignment="1">
      <alignment horizontal="left"/>
    </xf>
    <xf numFmtId="0" fontId="41" fillId="0" borderId="11" xfId="82" applyFont="1" applyBorder="1" applyAlignment="1">
      <alignment horizontal="left"/>
    </xf>
    <xf numFmtId="0" fontId="41" fillId="0" borderId="0" xfId="82" applyFont="1" applyAlignment="1">
      <alignment horizontal="center" wrapText="1"/>
    </xf>
    <xf numFmtId="0" fontId="44" fillId="0" borderId="0" xfId="82" applyFont="1" applyAlignment="1">
      <alignment horizontal="left"/>
    </xf>
    <xf numFmtId="164" fontId="31" fillId="0" borderId="1" xfId="0" applyNumberFormat="1" applyFont="1" applyFill="1" applyBorder="1" applyAlignment="1" applyProtection="1">
      <alignment horizontal="center" wrapText="1"/>
      <protection locked="0"/>
    </xf>
  </cellXfs>
  <cellStyles count="83">
    <cellStyle name="Comma" xfId="1" builtinId="3"/>
    <cellStyle name="Comma 10" xfId="7" xr:uid="{00000000-0005-0000-0000-000001000000}"/>
    <cellStyle name="Comma 11" xfId="70" xr:uid="{00000000-0005-0000-0000-000002000000}"/>
    <cellStyle name="Comma 12" xfId="76" xr:uid="{00000000-0005-0000-0000-000003000000}"/>
    <cellStyle name="Comma 2" xfId="5" xr:uid="{00000000-0005-0000-0000-000004000000}"/>
    <cellStyle name="Comma 2 2" xfId="9" xr:uid="{00000000-0005-0000-0000-000005000000}"/>
    <cellStyle name="Comma 2 2 2" xfId="10" xr:uid="{00000000-0005-0000-0000-000006000000}"/>
    <cellStyle name="Comma 2 3" xfId="8" xr:uid="{00000000-0005-0000-0000-000007000000}"/>
    <cellStyle name="Comma 3" xfId="11" xr:uid="{00000000-0005-0000-0000-000008000000}"/>
    <cellStyle name="Comma 4" xfId="12" xr:uid="{00000000-0005-0000-0000-000009000000}"/>
    <cellStyle name="Comma 4 2" xfId="13" xr:uid="{00000000-0005-0000-0000-00000A000000}"/>
    <cellStyle name="Comma 4 3" xfId="14" xr:uid="{00000000-0005-0000-0000-00000B000000}"/>
    <cellStyle name="Comma 4 4" xfId="15" xr:uid="{00000000-0005-0000-0000-00000C000000}"/>
    <cellStyle name="Comma 5" xfId="16" xr:uid="{00000000-0005-0000-0000-00000D000000}"/>
    <cellStyle name="Comma 5 2" xfId="17" xr:uid="{00000000-0005-0000-0000-00000E000000}"/>
    <cellStyle name="Comma 5 3" xfId="18" xr:uid="{00000000-0005-0000-0000-00000F000000}"/>
    <cellStyle name="Comma 6" xfId="19" xr:uid="{00000000-0005-0000-0000-000010000000}"/>
    <cellStyle name="Comma 7" xfId="20" xr:uid="{00000000-0005-0000-0000-000011000000}"/>
    <cellStyle name="Comma 8" xfId="21" xr:uid="{00000000-0005-0000-0000-000012000000}"/>
    <cellStyle name="Comma 9" xfId="22" xr:uid="{00000000-0005-0000-0000-000013000000}"/>
    <cellStyle name="Currency 2" xfId="23" xr:uid="{00000000-0005-0000-0000-000014000000}"/>
    <cellStyle name="Currency 2 2" xfId="24" xr:uid="{00000000-0005-0000-0000-000015000000}"/>
    <cellStyle name="Currency 2 2 2" xfId="25" xr:uid="{00000000-0005-0000-0000-000016000000}"/>
    <cellStyle name="Currency 3" xfId="26" xr:uid="{00000000-0005-0000-0000-000017000000}"/>
    <cellStyle name="Currency 4" xfId="27" xr:uid="{00000000-0005-0000-0000-000018000000}"/>
    <cellStyle name="Currency 4 2" xfId="28" xr:uid="{00000000-0005-0000-0000-000019000000}"/>
    <cellStyle name="Currency 4 3" xfId="29" xr:uid="{00000000-0005-0000-0000-00001A000000}"/>
    <cellStyle name="Currency 4 4" xfId="30" xr:uid="{00000000-0005-0000-0000-00001B000000}"/>
    <cellStyle name="Currency 5" xfId="31" xr:uid="{00000000-0005-0000-0000-00001C000000}"/>
    <cellStyle name="Currency 5 2" xfId="32" xr:uid="{00000000-0005-0000-0000-00001D000000}"/>
    <cellStyle name="Currency 5 3" xfId="33" xr:uid="{00000000-0005-0000-0000-00001E000000}"/>
    <cellStyle name="Currency 6" xfId="34" xr:uid="{00000000-0005-0000-0000-00001F000000}"/>
    <cellStyle name="Currency 7" xfId="35" xr:uid="{00000000-0005-0000-0000-000020000000}"/>
    <cellStyle name="Currency 8" xfId="36" xr:uid="{00000000-0005-0000-0000-000021000000}"/>
    <cellStyle name="Normal" xfId="0" builtinId="0"/>
    <cellStyle name="Normal 10" xfId="37" xr:uid="{00000000-0005-0000-0000-000023000000}"/>
    <cellStyle name="Normal 11" xfId="6" xr:uid="{00000000-0005-0000-0000-000024000000}"/>
    <cellStyle name="Normal 12" xfId="63" xr:uid="{00000000-0005-0000-0000-000025000000}"/>
    <cellStyle name="Normal 13" xfId="64" xr:uid="{00000000-0005-0000-0000-000026000000}"/>
    <cellStyle name="Normal 14" xfId="65" xr:uid="{00000000-0005-0000-0000-000027000000}"/>
    <cellStyle name="Normal 15" xfId="66" xr:uid="{00000000-0005-0000-0000-000028000000}"/>
    <cellStyle name="Normal 16" xfId="67" xr:uid="{00000000-0005-0000-0000-000029000000}"/>
    <cellStyle name="Normal 17" xfId="68" xr:uid="{00000000-0005-0000-0000-00002A000000}"/>
    <cellStyle name="Normal 18" xfId="69" xr:uid="{00000000-0005-0000-0000-00002B000000}"/>
    <cellStyle name="Normal 19" xfId="72" xr:uid="{00000000-0005-0000-0000-00002C000000}"/>
    <cellStyle name="Normal 2" xfId="38" xr:uid="{00000000-0005-0000-0000-00002D000000}"/>
    <cellStyle name="Normal 2 2" xfId="39" xr:uid="{00000000-0005-0000-0000-00002E000000}"/>
    <cellStyle name="Normal 2 3" xfId="40" xr:uid="{00000000-0005-0000-0000-00002F000000}"/>
    <cellStyle name="Normal 20" xfId="73" xr:uid="{00000000-0005-0000-0000-000030000000}"/>
    <cellStyle name="Normal 21" xfId="74" xr:uid="{00000000-0005-0000-0000-000031000000}"/>
    <cellStyle name="Normal 22" xfId="75" xr:uid="{00000000-0005-0000-0000-000032000000}"/>
    <cellStyle name="Normal 23" xfId="77" xr:uid="{00000000-0005-0000-0000-000033000000}"/>
    <cellStyle name="Normal 24" xfId="78" xr:uid="{00000000-0005-0000-0000-000034000000}"/>
    <cellStyle name="Normal 25" xfId="79" xr:uid="{00000000-0005-0000-0000-000035000000}"/>
    <cellStyle name="Normal 26" xfId="80" xr:uid="{00000000-0005-0000-0000-000036000000}"/>
    <cellStyle name="Normal 27" xfId="81" xr:uid="{BD6AF535-5674-4D40-9F93-0D77F6696277}"/>
    <cellStyle name="Normal 28" xfId="82" xr:uid="{D1969BA7-C5BA-40B7-BFCE-34F933A909F2}"/>
    <cellStyle name="Normal 3" xfId="41" xr:uid="{00000000-0005-0000-0000-000037000000}"/>
    <cellStyle name="Normal 3 2" xfId="42" xr:uid="{00000000-0005-0000-0000-000038000000}"/>
    <cellStyle name="Normal 3 3" xfId="43" xr:uid="{00000000-0005-0000-0000-000039000000}"/>
    <cellStyle name="Normal 4" xfId="44" xr:uid="{00000000-0005-0000-0000-00003A000000}"/>
    <cellStyle name="Normal 5" xfId="45" xr:uid="{00000000-0005-0000-0000-00003B000000}"/>
    <cellStyle name="Normal 6" xfId="46" xr:uid="{00000000-0005-0000-0000-00003C000000}"/>
    <cellStyle name="Normal 6 2" xfId="47" xr:uid="{00000000-0005-0000-0000-00003D000000}"/>
    <cellStyle name="Normal 7" xfId="48" xr:uid="{00000000-0005-0000-0000-00003E000000}"/>
    <cellStyle name="Normal 8" xfId="49" xr:uid="{00000000-0005-0000-0000-00003F000000}"/>
    <cellStyle name="Normal 9" xfId="50" xr:uid="{00000000-0005-0000-0000-000040000000}"/>
    <cellStyle name="Normal_Miami Budget Update - Jan 05 - Complete PR" xfId="2" xr:uid="{00000000-0005-0000-0000-000041000000}"/>
    <cellStyle name="Normal_Waterstone PAYROLL 05-06" xfId="3" xr:uid="{00000000-0005-0000-0000-000042000000}"/>
    <cellStyle name="Percent" xfId="4" builtinId="5"/>
    <cellStyle name="Percent 2" xfId="51" xr:uid="{00000000-0005-0000-0000-000044000000}"/>
    <cellStyle name="Percent 2 2" xfId="52" xr:uid="{00000000-0005-0000-0000-000045000000}"/>
    <cellStyle name="Percent 2 3" xfId="53" xr:uid="{00000000-0005-0000-0000-000046000000}"/>
    <cellStyle name="Percent 3" xfId="54" xr:uid="{00000000-0005-0000-0000-000047000000}"/>
    <cellStyle name="Percent 4" xfId="55" xr:uid="{00000000-0005-0000-0000-000048000000}"/>
    <cellStyle name="Percent 4 2" xfId="56" xr:uid="{00000000-0005-0000-0000-000049000000}"/>
    <cellStyle name="Percent 4 3" xfId="57" xr:uid="{00000000-0005-0000-0000-00004A000000}"/>
    <cellStyle name="Percent 4 4" xfId="58" xr:uid="{00000000-0005-0000-0000-00004B000000}"/>
    <cellStyle name="Percent 5" xfId="59" xr:uid="{00000000-0005-0000-0000-00004C000000}"/>
    <cellStyle name="Percent 5 2" xfId="60" xr:uid="{00000000-0005-0000-0000-00004D000000}"/>
    <cellStyle name="Percent 5 3" xfId="61" xr:uid="{00000000-0005-0000-0000-00004E000000}"/>
    <cellStyle name="Percent 6" xfId="62" xr:uid="{00000000-0005-0000-0000-00004F000000}"/>
    <cellStyle name="Percent 7" xfId="71" xr:uid="{00000000-0005-0000-0000-000050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6</xdr:col>
      <xdr:colOff>438150</xdr:colOff>
      <xdr:row>34</xdr:row>
      <xdr:rowOff>47625</xdr:rowOff>
    </xdr:from>
    <xdr:ext cx="1571625" cy="457200"/>
    <xdr:pic>
      <xdr:nvPicPr>
        <xdr:cNvPr id="2" name="image1.png">
          <a:extLst>
            <a:ext uri="{FF2B5EF4-FFF2-40B4-BE49-F238E27FC236}">
              <a16:creationId xmlns:a16="http://schemas.microsoft.com/office/drawing/2014/main" id="{2165414C-83A1-42DA-92B6-81760F91F173}"/>
            </a:ext>
          </a:extLst>
        </xdr:cNvPr>
        <xdr:cNvPicPr preferRelativeResize="0"/>
      </xdr:nvPicPr>
      <xdr:blipFill>
        <a:blip xmlns:r="http://schemas.openxmlformats.org/officeDocument/2006/relationships" r:embed="rId1" cstate="print"/>
        <a:stretch>
          <a:fillRect/>
        </a:stretch>
      </xdr:blipFill>
      <xdr:spPr>
        <a:xfrm>
          <a:off x="6907530" y="11325225"/>
          <a:ext cx="1571625" cy="457200"/>
        </a:xfrm>
        <a:prstGeom prst="rect">
          <a:avLst/>
        </a:prstGeom>
        <a:noFill/>
      </xdr:spPr>
    </xdr:pic>
    <xdr:clientData fLocksWithSheet="0"/>
  </xdr:oneCellAnchor>
  <xdr:oneCellAnchor>
    <xdr:from>
      <xdr:col>6</xdr:col>
      <xdr:colOff>447675</xdr:colOff>
      <xdr:row>48</xdr:row>
      <xdr:rowOff>66675</xdr:rowOff>
    </xdr:from>
    <xdr:ext cx="1552575" cy="447675"/>
    <xdr:pic>
      <xdr:nvPicPr>
        <xdr:cNvPr id="3" name="image1.png">
          <a:extLst>
            <a:ext uri="{FF2B5EF4-FFF2-40B4-BE49-F238E27FC236}">
              <a16:creationId xmlns:a16="http://schemas.microsoft.com/office/drawing/2014/main" id="{FCEEBEF8-3DE5-457A-9646-31F33A25DE80}"/>
            </a:ext>
          </a:extLst>
        </xdr:cNvPr>
        <xdr:cNvPicPr preferRelativeResize="0"/>
      </xdr:nvPicPr>
      <xdr:blipFill>
        <a:blip xmlns:r="http://schemas.openxmlformats.org/officeDocument/2006/relationships" r:embed="rId1" cstate="print"/>
        <a:stretch>
          <a:fillRect/>
        </a:stretch>
      </xdr:blipFill>
      <xdr:spPr>
        <a:xfrm>
          <a:off x="6917055" y="16472535"/>
          <a:ext cx="1552575" cy="447675"/>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fldoe.org/USERDATA/EXCEL/FTE97E3.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SUMMARY"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DATA\EXCEL\FTE97E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dkennemur\AppData\Local\Microsoft\Windows\Temporary%20Internet%20Files\Content.Outlook\GTPLOBU5\1617CSREW%20(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fs01\c\DOCUME~1\KEITHH~1.SPE\LOCALS~1\Temp\PBEDL%20Aug0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fs2\c%20on%20sfs2\DOCUME~1\CHRIS-~1.BHC\LOCALS~1\Temp\C.Lotus.Notes.Data\AJC\S%20L%20Jones%20%20Operating.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rleavins\Desktop\New%20Year%20Budget\API%20Budget%20FY17a%20wrong%20one%20used%20vla.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U:\out\Feb%201999\PACS_f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Op FB"/>
      <sheetName val="Narrative"/>
      <sheetName val="Cash Flow Startup"/>
      <sheetName val="Cash Flow 1"/>
      <sheetName val="Cash Flow 2"/>
      <sheetName val="Cash Flow 3"/>
      <sheetName val="Cash Flow 4"/>
      <sheetName val="Cash Flow 5"/>
      <sheetName val="Staffing"/>
      <sheetName val="Enroll"/>
      <sheetName val="Misc"/>
      <sheetName val="Food Svc"/>
      <sheetName val="Computers"/>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s>
    <sheetDataSet>
      <sheetData sheetId="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charter school calculator"/>
      <sheetName val=" Detail 2016-17 Second FEFP"/>
      <sheetName val="111-112-113 ADDITIONAL FUND"/>
      <sheetName val="Transportation Per Student"/>
      <sheetName val="75% or more ESE Calc"/>
    </sheetNames>
    <sheetDataSet>
      <sheetData sheetId="0"/>
      <sheetData sheetId="1">
        <row r="3">
          <cell r="B3" t="str">
            <v>Alachua</v>
          </cell>
        </row>
      </sheetData>
      <sheetData sheetId="2">
        <row r="6">
          <cell r="D6">
            <v>975</v>
          </cell>
        </row>
      </sheetData>
      <sheetData sheetId="3">
        <row r="13">
          <cell r="F13">
            <v>380</v>
          </cell>
        </row>
      </sheetData>
      <sheetData sheetId="4">
        <row r="89">
          <cell r="H89">
            <v>369227</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BEDL"/>
    </sheetNames>
    <sheetDataSet>
      <sheetData sheetId="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 Budget"/>
      <sheetName val="Data"/>
      <sheetName val="Personnel"/>
      <sheetName val="FD Budget "/>
    </sheetNames>
    <sheetDataSet>
      <sheetData sheetId="0"/>
      <sheetData sheetId="1"/>
      <sheetData sheetId="2" refreshError="1"/>
      <sheetData sheetId="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Summary"/>
      <sheetName val="Budget - VLA"/>
      <sheetName val="Rev Input"/>
      <sheetName val="Payroll Input"/>
      <sheetName val="Payroll Allocations"/>
      <sheetName val=" Expense Input"/>
      <sheetName val="Debt Svc"/>
      <sheetName val="FY14"/>
      <sheetName val="Active"/>
      <sheetName val="WCS Cash Flow Feb 10"/>
    </sheetNames>
    <sheetDataSet>
      <sheetData sheetId="0"/>
      <sheetData sheetId="1"/>
      <sheetData sheetId="2">
        <row r="83">
          <cell r="O83">
            <v>401.66</v>
          </cell>
        </row>
      </sheetData>
      <sheetData sheetId="3">
        <row r="260">
          <cell r="D260">
            <v>1</v>
          </cell>
        </row>
      </sheetData>
      <sheetData sheetId="4"/>
      <sheetData sheetId="5"/>
      <sheetData sheetId="6"/>
      <sheetData sheetId="7"/>
      <sheetData sheetId="8"/>
      <sheetData sheetId="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Table"/>
      <sheetName val="BS"/>
      <sheetName val="IS"/>
      <sheetName val="Forecast"/>
      <sheetName val="Revenue"/>
      <sheetName val="Expense"/>
      <sheetName val="Graph"/>
      <sheetName val="Enrollment"/>
      <sheetName val="Forecast WS"/>
      <sheetName val="Acctg IS"/>
      <sheetName val="Acctg BS"/>
      <sheetName val="Budget"/>
      <sheetName val="TB"/>
      <sheetName val="GL"/>
      <sheetName val="StkIndx"/>
    </sheetNames>
    <sheetDataSet>
      <sheetData sheetId="0"/>
      <sheetData sheetId="1"/>
      <sheetData sheetId="2"/>
      <sheetData sheetId="3"/>
      <sheetData sheetId="4"/>
      <sheetData sheetId="5"/>
      <sheetData sheetId="6"/>
      <sheetData sheetId="7"/>
      <sheetData sheetId="8"/>
      <sheetData sheetId="9" refreshError="1">
        <row r="6">
          <cell r="A6" t="str">
            <v>Revenues</v>
          </cell>
        </row>
        <row r="8">
          <cell r="A8" t="str">
            <v>Number of Students B.O.M.</v>
          </cell>
          <cell r="B8">
            <v>819</v>
          </cell>
          <cell r="C8">
            <v>819</v>
          </cell>
          <cell r="D8">
            <v>819</v>
          </cell>
          <cell r="E8">
            <v>819</v>
          </cell>
          <cell r="F8">
            <v>819</v>
          </cell>
          <cell r="G8">
            <v>819</v>
          </cell>
          <cell r="H8">
            <v>819</v>
          </cell>
          <cell r="I8">
            <v>819</v>
          </cell>
          <cell r="J8">
            <v>819</v>
          </cell>
          <cell r="K8">
            <v>819</v>
          </cell>
          <cell r="L8">
            <v>819</v>
          </cell>
          <cell r="M8">
            <v>819</v>
          </cell>
          <cell r="N8">
            <v>819</v>
          </cell>
        </row>
        <row r="9">
          <cell r="A9" t="str">
            <v>Local Cap. / Student</v>
          </cell>
          <cell r="B9">
            <v>0</v>
          </cell>
          <cell r="C9">
            <v>0</v>
          </cell>
          <cell r="D9">
            <v>0</v>
          </cell>
          <cell r="E9">
            <v>0</v>
          </cell>
          <cell r="F9">
            <v>0</v>
          </cell>
          <cell r="G9">
            <v>0</v>
          </cell>
          <cell r="H9">
            <v>0</v>
          </cell>
          <cell r="I9">
            <v>0</v>
          </cell>
          <cell r="J9">
            <v>0</v>
          </cell>
          <cell r="K9">
            <v>0</v>
          </cell>
          <cell r="L9">
            <v>0</v>
          </cell>
          <cell r="M9">
            <v>0</v>
          </cell>
          <cell r="N9">
            <v>0</v>
          </cell>
          <cell r="P9">
            <v>0</v>
          </cell>
          <cell r="Q9">
            <v>0</v>
          </cell>
          <cell r="R9">
            <v>0</v>
          </cell>
        </row>
        <row r="10">
          <cell r="A10" t="str">
            <v>State Cap. / Student</v>
          </cell>
          <cell r="B10">
            <v>332041</v>
          </cell>
          <cell r="C10">
            <v>332041</v>
          </cell>
          <cell r="D10">
            <v>233908</v>
          </cell>
          <cell r="E10">
            <v>263536</v>
          </cell>
          <cell r="F10">
            <v>290381.5</v>
          </cell>
          <cell r="G10">
            <v>294217</v>
          </cell>
          <cell r="H10">
            <v>289742</v>
          </cell>
          <cell r="I10">
            <v>289742</v>
          </cell>
          <cell r="J10">
            <v>289742</v>
          </cell>
          <cell r="K10">
            <v>289742</v>
          </cell>
          <cell r="L10">
            <v>289742</v>
          </cell>
          <cell r="M10">
            <v>289742</v>
          </cell>
          <cell r="N10">
            <v>3484576.5</v>
          </cell>
          <cell r="P10">
            <v>2035866.5</v>
          </cell>
          <cell r="Q10">
            <v>1448710</v>
          </cell>
          <cell r="R10">
            <v>3484576.5</v>
          </cell>
        </row>
        <row r="11">
          <cell r="A11" t="str">
            <v>State Start-Up Grant</v>
          </cell>
          <cell r="B11">
            <v>9583</v>
          </cell>
          <cell r="C11">
            <v>9583</v>
          </cell>
          <cell r="D11">
            <v>-19166</v>
          </cell>
          <cell r="E11">
            <v>0</v>
          </cell>
          <cell r="F11">
            <v>0</v>
          </cell>
          <cell r="G11">
            <v>0</v>
          </cell>
          <cell r="H11">
            <v>0</v>
          </cell>
          <cell r="I11">
            <v>0</v>
          </cell>
          <cell r="J11">
            <v>0</v>
          </cell>
          <cell r="K11">
            <v>0</v>
          </cell>
          <cell r="L11">
            <v>0</v>
          </cell>
          <cell r="M11">
            <v>0</v>
          </cell>
          <cell r="N11">
            <v>0</v>
          </cell>
          <cell r="P11">
            <v>0</v>
          </cell>
          <cell r="Q11">
            <v>0</v>
          </cell>
          <cell r="R11">
            <v>0</v>
          </cell>
        </row>
        <row r="12">
          <cell r="A12" t="str">
            <v>Fed Cap. / Student</v>
          </cell>
          <cell r="B12">
            <v>11887</v>
          </cell>
          <cell r="C12">
            <v>11887</v>
          </cell>
          <cell r="D12">
            <v>11887</v>
          </cell>
          <cell r="E12">
            <v>11882</v>
          </cell>
          <cell r="F12">
            <v>11053.16</v>
          </cell>
          <cell r="G12">
            <v>11049.16</v>
          </cell>
          <cell r="H12">
            <v>11054</v>
          </cell>
          <cell r="I12">
            <v>11054</v>
          </cell>
          <cell r="J12">
            <v>11054</v>
          </cell>
          <cell r="K12">
            <v>11054</v>
          </cell>
          <cell r="L12">
            <v>11054</v>
          </cell>
          <cell r="M12">
            <v>11054</v>
          </cell>
          <cell r="N12">
            <v>135969.32</v>
          </cell>
          <cell r="P12">
            <v>80699.320000000007</v>
          </cell>
          <cell r="Q12">
            <v>55270</v>
          </cell>
          <cell r="R12">
            <v>135969.32</v>
          </cell>
        </row>
        <row r="13">
          <cell r="A13" t="str">
            <v>Private Grants</v>
          </cell>
          <cell r="B13">
            <v>0</v>
          </cell>
          <cell r="C13">
            <v>0</v>
          </cell>
          <cell r="D13">
            <v>0</v>
          </cell>
          <cell r="E13">
            <v>0</v>
          </cell>
          <cell r="F13">
            <v>0</v>
          </cell>
          <cell r="G13">
            <v>0</v>
          </cell>
          <cell r="H13">
            <v>0</v>
          </cell>
          <cell r="I13">
            <v>0</v>
          </cell>
          <cell r="J13">
            <v>0</v>
          </cell>
          <cell r="K13">
            <v>5000</v>
          </cell>
          <cell r="L13">
            <v>0</v>
          </cell>
          <cell r="M13">
            <v>25000</v>
          </cell>
          <cell r="N13">
            <v>30000</v>
          </cell>
          <cell r="P13">
            <v>0</v>
          </cell>
          <cell r="Q13">
            <v>30000</v>
          </cell>
          <cell r="R13">
            <v>30000</v>
          </cell>
        </row>
        <row r="14">
          <cell r="A14" t="str">
            <v xml:space="preserve">State Spec Ed </v>
          </cell>
          <cell r="B14">
            <v>0</v>
          </cell>
          <cell r="C14">
            <v>0</v>
          </cell>
          <cell r="D14">
            <v>0</v>
          </cell>
          <cell r="E14">
            <v>0</v>
          </cell>
          <cell r="F14">
            <v>0</v>
          </cell>
          <cell r="G14">
            <v>0</v>
          </cell>
          <cell r="H14">
            <v>0</v>
          </cell>
          <cell r="I14">
            <v>0</v>
          </cell>
          <cell r="J14">
            <v>0</v>
          </cell>
          <cell r="K14">
            <v>0</v>
          </cell>
          <cell r="L14">
            <v>0</v>
          </cell>
          <cell r="M14">
            <v>0</v>
          </cell>
          <cell r="N14">
            <v>0</v>
          </cell>
          <cell r="P14">
            <v>0</v>
          </cell>
          <cell r="Q14">
            <v>0</v>
          </cell>
          <cell r="R14">
            <v>0</v>
          </cell>
        </row>
        <row r="15">
          <cell r="A15" t="str">
            <v>Fed Spec Ed</v>
          </cell>
          <cell r="B15">
            <v>0</v>
          </cell>
          <cell r="C15">
            <v>0</v>
          </cell>
          <cell r="D15">
            <v>0</v>
          </cell>
          <cell r="E15">
            <v>0</v>
          </cell>
          <cell r="F15">
            <v>0</v>
          </cell>
          <cell r="G15">
            <v>0</v>
          </cell>
          <cell r="H15">
            <v>0</v>
          </cell>
          <cell r="I15">
            <v>0</v>
          </cell>
          <cell r="J15">
            <v>0</v>
          </cell>
          <cell r="K15">
            <v>0</v>
          </cell>
          <cell r="L15">
            <v>0</v>
          </cell>
          <cell r="M15">
            <v>0</v>
          </cell>
          <cell r="N15">
            <v>0</v>
          </cell>
          <cell r="P15">
            <v>0</v>
          </cell>
          <cell r="Q15">
            <v>0</v>
          </cell>
          <cell r="R15">
            <v>0</v>
          </cell>
        </row>
        <row r="16">
          <cell r="A16" t="str">
            <v>Total Earned Capitation</v>
          </cell>
          <cell r="B16">
            <v>353511</v>
          </cell>
          <cell r="C16">
            <v>353511</v>
          </cell>
          <cell r="D16">
            <v>226629</v>
          </cell>
          <cell r="E16">
            <v>275418</v>
          </cell>
          <cell r="F16">
            <v>301434.65999999997</v>
          </cell>
          <cell r="G16">
            <v>305266.15999999997</v>
          </cell>
          <cell r="H16">
            <v>300796</v>
          </cell>
          <cell r="I16">
            <v>300796</v>
          </cell>
          <cell r="J16">
            <v>300796</v>
          </cell>
          <cell r="K16">
            <v>305796</v>
          </cell>
          <cell r="L16">
            <v>300796</v>
          </cell>
          <cell r="M16">
            <v>325796</v>
          </cell>
          <cell r="N16">
            <v>3650545.8200000003</v>
          </cell>
          <cell r="P16">
            <v>2116565.8199999998</v>
          </cell>
          <cell r="Q16">
            <v>1533980</v>
          </cell>
          <cell r="R16">
            <v>3650545.82</v>
          </cell>
        </row>
        <row r="19">
          <cell r="A19" t="str">
            <v>Fed Free Lunch &amp; Breakfast</v>
          </cell>
          <cell r="B19">
            <v>0</v>
          </cell>
          <cell r="C19">
            <v>7200</v>
          </cell>
          <cell r="D19">
            <v>15000</v>
          </cell>
          <cell r="E19">
            <v>52800</v>
          </cell>
          <cell r="F19">
            <v>20228</v>
          </cell>
          <cell r="G19">
            <v>30000</v>
          </cell>
          <cell r="H19">
            <v>30000</v>
          </cell>
          <cell r="I19">
            <v>20000</v>
          </cell>
          <cell r="J19">
            <v>20000</v>
          </cell>
          <cell r="K19">
            <v>20000</v>
          </cell>
          <cell r="L19">
            <v>20000</v>
          </cell>
          <cell r="M19">
            <v>20000</v>
          </cell>
          <cell r="N19">
            <v>255228</v>
          </cell>
          <cell r="P19">
            <v>155228</v>
          </cell>
          <cell r="Q19">
            <v>100000</v>
          </cell>
          <cell r="R19">
            <v>255228</v>
          </cell>
        </row>
        <row r="20">
          <cell r="A20" t="str">
            <v>Fed Reduced Lunch &amp; Bkfst</v>
          </cell>
          <cell r="B20">
            <v>0</v>
          </cell>
          <cell r="C20">
            <v>0</v>
          </cell>
          <cell r="D20">
            <v>0</v>
          </cell>
          <cell r="E20">
            <v>0</v>
          </cell>
          <cell r="F20">
            <v>0</v>
          </cell>
          <cell r="G20">
            <v>0</v>
          </cell>
          <cell r="H20">
            <v>0</v>
          </cell>
          <cell r="I20">
            <v>10433.6505</v>
          </cell>
          <cell r="J20">
            <v>12081.069</v>
          </cell>
          <cell r="K20">
            <v>8786.232</v>
          </cell>
          <cell r="L20">
            <v>10982.79</v>
          </cell>
          <cell r="M20">
            <v>9884.5109999999986</v>
          </cell>
          <cell r="N20">
            <v>52168.252500000002</v>
          </cell>
          <cell r="P20">
            <v>0</v>
          </cell>
          <cell r="Q20">
            <v>52168.252500000002</v>
          </cell>
          <cell r="R20">
            <v>52168.252500000002</v>
          </cell>
        </row>
        <row r="21">
          <cell r="A21" t="str">
            <v>Fed Paying Student Offset</v>
          </cell>
          <cell r="B21">
            <v>0</v>
          </cell>
          <cell r="C21">
            <v>0</v>
          </cell>
          <cell r="D21">
            <v>0</v>
          </cell>
          <cell r="E21">
            <v>0</v>
          </cell>
          <cell r="F21">
            <v>0</v>
          </cell>
          <cell r="G21">
            <v>0</v>
          </cell>
          <cell r="H21">
            <v>0</v>
          </cell>
          <cell r="I21">
            <v>591.3180000000001</v>
          </cell>
          <cell r="J21">
            <v>684.68400000000008</v>
          </cell>
          <cell r="K21">
            <v>497.95200000000006</v>
          </cell>
          <cell r="L21">
            <v>622.44000000000005</v>
          </cell>
          <cell r="M21">
            <v>560.19600000000014</v>
          </cell>
          <cell r="N21">
            <v>2956.5900000000006</v>
          </cell>
          <cell r="P21">
            <v>0</v>
          </cell>
          <cell r="Q21">
            <v>2956.59</v>
          </cell>
          <cell r="R21">
            <v>2956.59</v>
          </cell>
        </row>
        <row r="22">
          <cell r="A22" t="str">
            <v>Student Revs Reduced</v>
          </cell>
          <cell r="B22">
            <v>0</v>
          </cell>
          <cell r="C22">
            <v>375</v>
          </cell>
          <cell r="D22">
            <v>1000</v>
          </cell>
          <cell r="E22">
            <v>0</v>
          </cell>
          <cell r="F22">
            <v>0</v>
          </cell>
          <cell r="G22">
            <v>0</v>
          </cell>
          <cell r="H22">
            <v>0</v>
          </cell>
          <cell r="I22">
            <v>3104.4195</v>
          </cell>
          <cell r="J22">
            <v>3594.5910000000003</v>
          </cell>
          <cell r="K22">
            <v>2614.248</v>
          </cell>
          <cell r="L22">
            <v>3267.81</v>
          </cell>
          <cell r="M22">
            <v>2941.029</v>
          </cell>
          <cell r="N22">
            <v>16897.0975</v>
          </cell>
          <cell r="P22">
            <v>1375</v>
          </cell>
          <cell r="Q22">
            <v>15522.0975</v>
          </cell>
          <cell r="R22">
            <v>16897.0975</v>
          </cell>
        </row>
        <row r="23">
          <cell r="A23" t="str">
            <v>Student Revs Full</v>
          </cell>
          <cell r="B23">
            <v>0</v>
          </cell>
          <cell r="C23">
            <v>300</v>
          </cell>
          <cell r="D23">
            <v>800</v>
          </cell>
          <cell r="E23">
            <v>5025</v>
          </cell>
          <cell r="F23">
            <v>5000</v>
          </cell>
          <cell r="G23">
            <v>5000</v>
          </cell>
          <cell r="H23">
            <v>5000</v>
          </cell>
          <cell r="I23">
            <v>4574.9340000000002</v>
          </cell>
          <cell r="J23">
            <v>5297.2920000000004</v>
          </cell>
          <cell r="K23">
            <v>3852.576</v>
          </cell>
          <cell r="L23">
            <v>4815.7</v>
          </cell>
          <cell r="M23">
            <v>4334.1480000000001</v>
          </cell>
          <cell r="N23">
            <v>43999.65</v>
          </cell>
          <cell r="P23">
            <v>21125</v>
          </cell>
          <cell r="Q23">
            <v>22874.65</v>
          </cell>
          <cell r="R23">
            <v>43999.65</v>
          </cell>
        </row>
        <row r="24">
          <cell r="A24" t="str">
            <v>Total Earned Food Service</v>
          </cell>
          <cell r="B24">
            <v>0</v>
          </cell>
          <cell r="C24">
            <v>7875</v>
          </cell>
          <cell r="D24">
            <v>16800</v>
          </cell>
          <cell r="E24">
            <v>57825</v>
          </cell>
          <cell r="F24">
            <v>25228</v>
          </cell>
          <cell r="G24">
            <v>35000</v>
          </cell>
          <cell r="H24">
            <v>35000</v>
          </cell>
          <cell r="I24">
            <v>38704.322</v>
          </cell>
          <cell r="J24">
            <v>41657.635999999999</v>
          </cell>
          <cell r="K24">
            <v>35751.008000000002</v>
          </cell>
          <cell r="L24">
            <v>39688.74</v>
          </cell>
          <cell r="M24">
            <v>37719.883999999998</v>
          </cell>
          <cell r="N24">
            <v>371249.58999999997</v>
          </cell>
          <cell r="P24">
            <v>177728</v>
          </cell>
          <cell r="Q24">
            <v>193521.59</v>
          </cell>
          <cell r="R24">
            <v>371249.59</v>
          </cell>
        </row>
        <row r="26">
          <cell r="A26" t="str">
            <v>Total Revenues</v>
          </cell>
          <cell r="B26">
            <v>353511</v>
          </cell>
          <cell r="C26">
            <v>361386</v>
          </cell>
          <cell r="D26">
            <v>243429</v>
          </cell>
          <cell r="E26">
            <v>333243</v>
          </cell>
          <cell r="F26">
            <v>326662.65999999997</v>
          </cell>
          <cell r="G26">
            <v>340266.16</v>
          </cell>
          <cell r="H26">
            <v>335796</v>
          </cell>
          <cell r="I26">
            <v>339500.32199999999</v>
          </cell>
          <cell r="J26">
            <v>342453.636</v>
          </cell>
          <cell r="K26">
            <v>341547.00800000003</v>
          </cell>
          <cell r="L26">
            <v>340484.74</v>
          </cell>
          <cell r="M26">
            <v>363515.88400000002</v>
          </cell>
          <cell r="N26">
            <v>4021795.41</v>
          </cell>
          <cell r="P26">
            <v>2294293.8199999998</v>
          </cell>
          <cell r="Q26">
            <v>1727501.59</v>
          </cell>
          <cell r="R26">
            <v>4021795.4099999997</v>
          </cell>
        </row>
        <row r="29">
          <cell r="A29" t="str">
            <v>Salaried Personnel</v>
          </cell>
        </row>
        <row r="30">
          <cell r="A30" t="str">
            <v>School Leadership</v>
          </cell>
          <cell r="B30">
            <v>19502</v>
          </cell>
          <cell r="C30">
            <v>13213</v>
          </cell>
          <cell r="D30">
            <v>14486</v>
          </cell>
          <cell r="E30">
            <v>27604</v>
          </cell>
          <cell r="F30">
            <v>18205</v>
          </cell>
          <cell r="G30">
            <v>2008</v>
          </cell>
          <cell r="H30">
            <v>17757</v>
          </cell>
          <cell r="I30">
            <v>14040</v>
          </cell>
          <cell r="J30">
            <v>14040</v>
          </cell>
          <cell r="K30">
            <v>14040</v>
          </cell>
          <cell r="L30">
            <v>14040</v>
          </cell>
          <cell r="M30">
            <v>14040</v>
          </cell>
          <cell r="N30">
            <v>182975</v>
          </cell>
          <cell r="P30">
            <v>112775</v>
          </cell>
          <cell r="Q30">
            <v>70200</v>
          </cell>
          <cell r="R30">
            <v>182975</v>
          </cell>
        </row>
        <row r="31">
          <cell r="A31" t="str">
            <v>Teacher Salaries - Reg. Educ.</v>
          </cell>
          <cell r="B31">
            <v>53631</v>
          </cell>
          <cell r="C31">
            <v>82104</v>
          </cell>
          <cell r="D31">
            <v>80997</v>
          </cell>
          <cell r="E31">
            <v>81231</v>
          </cell>
          <cell r="F31">
            <v>74034</v>
          </cell>
          <cell r="G31">
            <v>61504</v>
          </cell>
          <cell r="H31">
            <v>103922</v>
          </cell>
          <cell r="I31">
            <v>76180</v>
          </cell>
          <cell r="J31">
            <v>76180</v>
          </cell>
          <cell r="K31">
            <v>76180</v>
          </cell>
          <cell r="L31">
            <v>76180</v>
          </cell>
          <cell r="M31">
            <v>76180</v>
          </cell>
          <cell r="N31">
            <v>918323</v>
          </cell>
          <cell r="P31">
            <v>537423</v>
          </cell>
          <cell r="Q31">
            <v>380900</v>
          </cell>
          <cell r="R31">
            <v>918323</v>
          </cell>
        </row>
        <row r="32">
          <cell r="A32" t="str">
            <v>Teacher Salaries - SPED</v>
          </cell>
          <cell r="B32">
            <v>2500</v>
          </cell>
          <cell r="C32">
            <v>4356</v>
          </cell>
          <cell r="D32">
            <v>6248</v>
          </cell>
          <cell r="E32">
            <v>3271</v>
          </cell>
          <cell r="F32">
            <v>4625</v>
          </cell>
          <cell r="G32">
            <v>3375</v>
          </cell>
          <cell r="H32">
            <v>5958</v>
          </cell>
          <cell r="I32">
            <v>2773.3333333333335</v>
          </cell>
          <cell r="J32">
            <v>2773.3333333333335</v>
          </cell>
          <cell r="K32">
            <v>2773.3333333333335</v>
          </cell>
          <cell r="L32">
            <v>2773.3333333333335</v>
          </cell>
          <cell r="M32">
            <v>2773.3333333333335</v>
          </cell>
          <cell r="N32">
            <v>44199.666666666672</v>
          </cell>
          <cell r="P32">
            <v>30333</v>
          </cell>
          <cell r="Q32">
            <v>13866.666666666668</v>
          </cell>
          <cell r="R32">
            <v>44199.666666666672</v>
          </cell>
        </row>
        <row r="33">
          <cell r="A33" t="str">
            <v>Specialty Teachers</v>
          </cell>
          <cell r="B33">
            <v>8542</v>
          </cell>
          <cell r="C33">
            <v>5355</v>
          </cell>
          <cell r="D33">
            <v>5270</v>
          </cell>
          <cell r="E33">
            <v>12843</v>
          </cell>
          <cell r="F33">
            <v>5605</v>
          </cell>
          <cell r="G33">
            <v>5604</v>
          </cell>
          <cell r="H33">
            <v>6876</v>
          </cell>
          <cell r="I33">
            <v>10400</v>
          </cell>
          <cell r="J33">
            <v>10400</v>
          </cell>
          <cell r="K33">
            <v>10400</v>
          </cell>
          <cell r="L33">
            <v>10400</v>
          </cell>
          <cell r="M33">
            <v>10400</v>
          </cell>
          <cell r="N33">
            <v>102095</v>
          </cell>
          <cell r="P33">
            <v>50095</v>
          </cell>
          <cell r="Q33">
            <v>52000</v>
          </cell>
          <cell r="R33">
            <v>102095</v>
          </cell>
        </row>
        <row r="34">
          <cell r="A34" t="str">
            <v xml:space="preserve">Technology Staff </v>
          </cell>
          <cell r="B34">
            <v>0</v>
          </cell>
          <cell r="C34">
            <v>0</v>
          </cell>
          <cell r="D34">
            <v>0</v>
          </cell>
          <cell r="E34">
            <v>0</v>
          </cell>
          <cell r="F34">
            <v>0</v>
          </cell>
          <cell r="G34">
            <v>0</v>
          </cell>
          <cell r="H34">
            <v>0</v>
          </cell>
          <cell r="I34">
            <v>0</v>
          </cell>
          <cell r="J34">
            <v>0</v>
          </cell>
          <cell r="K34">
            <v>0</v>
          </cell>
          <cell r="L34">
            <v>0</v>
          </cell>
          <cell r="M34">
            <v>0</v>
          </cell>
          <cell r="N34">
            <v>0</v>
          </cell>
          <cell r="P34">
            <v>0</v>
          </cell>
          <cell r="Q34">
            <v>0</v>
          </cell>
          <cell r="R34">
            <v>0</v>
          </cell>
        </row>
        <row r="35">
          <cell r="A35" t="str">
            <v>Instructional Asst.</v>
          </cell>
          <cell r="B35">
            <v>13635</v>
          </cell>
          <cell r="C35">
            <v>21770</v>
          </cell>
          <cell r="D35">
            <v>24174</v>
          </cell>
          <cell r="E35">
            <v>26478</v>
          </cell>
          <cell r="F35">
            <v>24129</v>
          </cell>
          <cell r="G35">
            <v>24694</v>
          </cell>
          <cell r="H35">
            <v>29688</v>
          </cell>
          <cell r="I35">
            <v>20000</v>
          </cell>
          <cell r="J35">
            <v>20000</v>
          </cell>
          <cell r="K35">
            <v>20000</v>
          </cell>
          <cell r="L35">
            <v>20000</v>
          </cell>
          <cell r="M35">
            <v>20000</v>
          </cell>
          <cell r="N35">
            <v>264568</v>
          </cell>
          <cell r="P35">
            <v>164568</v>
          </cell>
          <cell r="Q35">
            <v>100000</v>
          </cell>
          <cell r="R35">
            <v>264568</v>
          </cell>
        </row>
        <row r="36">
          <cell r="A36" t="str">
            <v>Health &amp; Guidance</v>
          </cell>
          <cell r="B36">
            <v>1260</v>
          </cell>
          <cell r="C36">
            <v>1360</v>
          </cell>
          <cell r="D36">
            <v>1825</v>
          </cell>
          <cell r="E36">
            <v>2116</v>
          </cell>
          <cell r="F36">
            <v>1941</v>
          </cell>
          <cell r="G36">
            <v>2242</v>
          </cell>
          <cell r="H36">
            <v>1941</v>
          </cell>
          <cell r="I36">
            <v>2600</v>
          </cell>
          <cell r="J36">
            <v>2600</v>
          </cell>
          <cell r="K36">
            <v>2600</v>
          </cell>
          <cell r="L36">
            <v>2600</v>
          </cell>
          <cell r="M36">
            <v>2600</v>
          </cell>
          <cell r="N36">
            <v>25685</v>
          </cell>
          <cell r="P36">
            <v>12685</v>
          </cell>
          <cell r="Q36">
            <v>13000</v>
          </cell>
          <cell r="R36">
            <v>25685</v>
          </cell>
        </row>
        <row r="37">
          <cell r="A37" t="str">
            <v>Librarian</v>
          </cell>
          <cell r="B37">
            <v>0</v>
          </cell>
          <cell r="C37">
            <v>0</v>
          </cell>
          <cell r="D37">
            <v>0</v>
          </cell>
          <cell r="E37">
            <v>0</v>
          </cell>
          <cell r="F37">
            <v>2127</v>
          </cell>
          <cell r="G37">
            <v>2034</v>
          </cell>
          <cell r="H37">
            <v>2033</v>
          </cell>
          <cell r="I37">
            <v>2253.3333333333335</v>
          </cell>
          <cell r="J37">
            <v>2253.3333333333335</v>
          </cell>
          <cell r="K37">
            <v>2253.3333333333335</v>
          </cell>
          <cell r="L37">
            <v>2253.3333333333335</v>
          </cell>
          <cell r="M37">
            <v>2253.3333333333335</v>
          </cell>
          <cell r="N37">
            <v>17460.666666666668</v>
          </cell>
          <cell r="P37">
            <v>6194</v>
          </cell>
          <cell r="Q37">
            <v>11266.666666666668</v>
          </cell>
          <cell r="R37">
            <v>17460.666666666668</v>
          </cell>
        </row>
        <row r="38">
          <cell r="A38" t="str">
            <v>Total Salaries</v>
          </cell>
          <cell r="B38">
            <v>99070</v>
          </cell>
          <cell r="C38">
            <v>128158</v>
          </cell>
          <cell r="D38">
            <v>133000</v>
          </cell>
          <cell r="E38">
            <v>153543</v>
          </cell>
          <cell r="F38">
            <v>130666</v>
          </cell>
          <cell r="G38">
            <v>101461</v>
          </cell>
          <cell r="H38">
            <v>168175</v>
          </cell>
          <cell r="I38">
            <v>128246.66666666666</v>
          </cell>
          <cell r="J38">
            <v>128246.66666666666</v>
          </cell>
          <cell r="K38">
            <v>128246.66666666666</v>
          </cell>
          <cell r="L38">
            <v>128246.66666666666</v>
          </cell>
          <cell r="M38">
            <v>128246.66666666666</v>
          </cell>
          <cell r="N38">
            <v>1555306.3333333333</v>
          </cell>
          <cell r="P38">
            <v>914073</v>
          </cell>
          <cell r="Q38">
            <v>641233.33333333337</v>
          </cell>
          <cell r="R38">
            <v>1555306.3333333335</v>
          </cell>
        </row>
        <row r="40">
          <cell r="A40" t="str">
            <v>Hourly Wage Personnel</v>
          </cell>
        </row>
        <row r="41">
          <cell r="A41" t="str">
            <v>Administrative Staff</v>
          </cell>
          <cell r="B41">
            <v>4134</v>
          </cell>
          <cell r="C41">
            <v>4034</v>
          </cell>
          <cell r="D41">
            <v>3543</v>
          </cell>
          <cell r="E41">
            <v>7399</v>
          </cell>
          <cell r="F41">
            <v>3777</v>
          </cell>
          <cell r="G41">
            <v>4104</v>
          </cell>
          <cell r="H41">
            <v>7036</v>
          </cell>
          <cell r="I41">
            <v>7036</v>
          </cell>
          <cell r="J41">
            <v>7036</v>
          </cell>
          <cell r="K41">
            <v>7036</v>
          </cell>
          <cell r="L41">
            <v>7036</v>
          </cell>
          <cell r="M41">
            <v>7036</v>
          </cell>
          <cell r="N41">
            <v>69207</v>
          </cell>
          <cell r="P41">
            <v>34027</v>
          </cell>
          <cell r="Q41">
            <v>35180</v>
          </cell>
          <cell r="R41">
            <v>69207</v>
          </cell>
        </row>
        <row r="42">
          <cell r="A42" t="str">
            <v>Custodial Staff</v>
          </cell>
          <cell r="B42">
            <v>1500</v>
          </cell>
          <cell r="C42">
            <v>0</v>
          </cell>
          <cell r="D42">
            <v>0</v>
          </cell>
          <cell r="E42">
            <v>0</v>
          </cell>
          <cell r="F42">
            <v>0</v>
          </cell>
          <cell r="G42">
            <v>0</v>
          </cell>
          <cell r="H42">
            <v>750</v>
          </cell>
          <cell r="I42">
            <v>1560</v>
          </cell>
          <cell r="J42">
            <v>1560</v>
          </cell>
          <cell r="K42">
            <v>1560</v>
          </cell>
          <cell r="L42">
            <v>1560</v>
          </cell>
          <cell r="M42">
            <v>1560</v>
          </cell>
          <cell r="N42">
            <v>10050</v>
          </cell>
          <cell r="P42">
            <v>2250</v>
          </cell>
          <cell r="Q42">
            <v>7800</v>
          </cell>
          <cell r="R42">
            <v>10050</v>
          </cell>
        </row>
        <row r="43">
          <cell r="A43" t="str">
            <v>Food Service Staff</v>
          </cell>
          <cell r="B43">
            <v>536</v>
          </cell>
          <cell r="C43">
            <v>891</v>
          </cell>
          <cell r="D43">
            <v>1775</v>
          </cell>
          <cell r="E43">
            <v>3149</v>
          </cell>
          <cell r="F43">
            <v>5293</v>
          </cell>
          <cell r="G43">
            <v>1915</v>
          </cell>
          <cell r="H43">
            <v>3739</v>
          </cell>
          <cell r="I43">
            <v>2080</v>
          </cell>
          <cell r="J43">
            <v>2080</v>
          </cell>
          <cell r="K43">
            <v>2080</v>
          </cell>
          <cell r="L43">
            <v>2080</v>
          </cell>
          <cell r="M43">
            <v>2080</v>
          </cell>
          <cell r="N43">
            <v>27698</v>
          </cell>
          <cell r="P43">
            <v>17298</v>
          </cell>
          <cell r="Q43">
            <v>10400</v>
          </cell>
          <cell r="R43">
            <v>27698</v>
          </cell>
        </row>
        <row r="44">
          <cell r="A44" t="str">
            <v>Other School Staff</v>
          </cell>
          <cell r="B44">
            <v>2000</v>
          </cell>
          <cell r="C44">
            <v>3880</v>
          </cell>
          <cell r="D44">
            <v>22447</v>
          </cell>
          <cell r="E44">
            <v>2918</v>
          </cell>
          <cell r="F44">
            <v>0</v>
          </cell>
          <cell r="G44">
            <v>0</v>
          </cell>
          <cell r="H44">
            <v>0</v>
          </cell>
          <cell r="I44">
            <v>0</v>
          </cell>
          <cell r="J44">
            <v>0</v>
          </cell>
          <cell r="K44">
            <v>0</v>
          </cell>
          <cell r="L44">
            <v>0</v>
          </cell>
          <cell r="M44">
            <v>0</v>
          </cell>
          <cell r="N44">
            <v>31245</v>
          </cell>
          <cell r="P44">
            <v>31245</v>
          </cell>
          <cell r="Q44">
            <v>0</v>
          </cell>
          <cell r="R44">
            <v>31245</v>
          </cell>
        </row>
        <row r="45">
          <cell r="A45" t="str">
            <v>Temporary Staff</v>
          </cell>
          <cell r="B45">
            <v>2480</v>
          </cell>
          <cell r="C45">
            <v>4148</v>
          </cell>
          <cell r="D45">
            <v>10033</v>
          </cell>
          <cell r="E45">
            <v>4890</v>
          </cell>
          <cell r="F45">
            <v>8320</v>
          </cell>
          <cell r="G45">
            <v>4700</v>
          </cell>
          <cell r="H45">
            <v>4519</v>
          </cell>
          <cell r="I45">
            <v>1050</v>
          </cell>
          <cell r="J45">
            <v>1050</v>
          </cell>
          <cell r="K45">
            <v>1050</v>
          </cell>
          <cell r="L45">
            <v>1050</v>
          </cell>
          <cell r="M45">
            <v>1050</v>
          </cell>
          <cell r="N45">
            <v>44340</v>
          </cell>
          <cell r="P45">
            <v>39090</v>
          </cell>
          <cell r="Q45">
            <v>5250</v>
          </cell>
          <cell r="R45">
            <v>44340</v>
          </cell>
        </row>
        <row r="46">
          <cell r="A46" t="str">
            <v>Total Hourly Wages</v>
          </cell>
          <cell r="B46">
            <v>10650</v>
          </cell>
          <cell r="C46">
            <v>12953</v>
          </cell>
          <cell r="D46">
            <v>37798</v>
          </cell>
          <cell r="E46">
            <v>18356</v>
          </cell>
          <cell r="F46">
            <v>17390</v>
          </cell>
          <cell r="G46">
            <v>10719</v>
          </cell>
          <cell r="H46">
            <v>16044</v>
          </cell>
          <cell r="I46">
            <v>11726</v>
          </cell>
          <cell r="J46">
            <v>11726</v>
          </cell>
          <cell r="K46">
            <v>11726</v>
          </cell>
          <cell r="L46">
            <v>11726</v>
          </cell>
          <cell r="M46">
            <v>11726</v>
          </cell>
          <cell r="N46">
            <v>182540</v>
          </cell>
          <cell r="P46">
            <v>123910</v>
          </cell>
          <cell r="Q46">
            <v>58630</v>
          </cell>
          <cell r="R46">
            <v>182540</v>
          </cell>
        </row>
        <row r="48">
          <cell r="A48" t="str">
            <v>Taxes &amp; Benefits</v>
          </cell>
        </row>
        <row r="49">
          <cell r="A49" t="str">
            <v>Group Insurance &amp; Other</v>
          </cell>
          <cell r="B49">
            <v>335</v>
          </cell>
          <cell r="C49">
            <v>11091</v>
          </cell>
          <cell r="D49">
            <v>13335</v>
          </cell>
          <cell r="E49">
            <v>13539</v>
          </cell>
          <cell r="F49">
            <v>32083</v>
          </cell>
          <cell r="G49">
            <v>50163</v>
          </cell>
          <cell r="H49">
            <v>22933</v>
          </cell>
          <cell r="I49">
            <v>19878.233333333334</v>
          </cell>
          <cell r="J49">
            <v>19878.233333333334</v>
          </cell>
          <cell r="K49">
            <v>19878.233333333334</v>
          </cell>
          <cell r="L49">
            <v>29878.233333333301</v>
          </cell>
          <cell r="M49">
            <v>29878.233333333301</v>
          </cell>
          <cell r="N49">
            <v>262870.16666666663</v>
          </cell>
          <cell r="P49">
            <v>143479</v>
          </cell>
          <cell r="Q49">
            <v>119391.1666666666</v>
          </cell>
          <cell r="R49">
            <v>262870.16666666663</v>
          </cell>
        </row>
        <row r="50">
          <cell r="A50" t="str">
            <v>Worker's Compensation</v>
          </cell>
          <cell r="B50">
            <v>518</v>
          </cell>
          <cell r="C50">
            <v>518</v>
          </cell>
          <cell r="D50">
            <v>518</v>
          </cell>
          <cell r="E50">
            <v>-733</v>
          </cell>
          <cell r="F50">
            <v>204</v>
          </cell>
          <cell r="G50">
            <v>203</v>
          </cell>
          <cell r="H50">
            <v>-641</v>
          </cell>
          <cell r="I50">
            <v>686.7833333333333</v>
          </cell>
          <cell r="J50">
            <v>686.7833333333333</v>
          </cell>
          <cell r="K50">
            <v>686.7833333333333</v>
          </cell>
          <cell r="L50">
            <v>686.7833333333333</v>
          </cell>
          <cell r="M50">
            <v>686.7833333333333</v>
          </cell>
          <cell r="N50">
            <v>4020.9166666666665</v>
          </cell>
          <cell r="P50">
            <v>587</v>
          </cell>
          <cell r="Q50">
            <v>3433.9166666666665</v>
          </cell>
          <cell r="R50">
            <v>4020.9166666666665</v>
          </cell>
        </row>
        <row r="51">
          <cell r="A51" t="str">
            <v>Payroll Taxes</v>
          </cell>
          <cell r="B51">
            <v>8377</v>
          </cell>
          <cell r="C51">
            <v>13014</v>
          </cell>
          <cell r="D51">
            <v>15481</v>
          </cell>
          <cell r="E51">
            <v>13449</v>
          </cell>
          <cell r="F51">
            <v>12419</v>
          </cell>
          <cell r="G51">
            <v>5341</v>
          </cell>
          <cell r="H51">
            <v>18774</v>
          </cell>
          <cell r="I51">
            <v>10782.498333333331</v>
          </cell>
          <cell r="J51">
            <v>10782.498333333331</v>
          </cell>
          <cell r="K51">
            <v>10782.498333333331</v>
          </cell>
          <cell r="L51">
            <v>10782.498333333331</v>
          </cell>
          <cell r="M51">
            <v>10782.498333333331</v>
          </cell>
          <cell r="N51">
            <v>140767.49166666664</v>
          </cell>
          <cell r="P51">
            <v>86855</v>
          </cell>
          <cell r="Q51">
            <v>53912.491666666654</v>
          </cell>
          <cell r="R51">
            <v>140767.49166666664</v>
          </cell>
        </row>
        <row r="52">
          <cell r="A52" t="str">
            <v>Total Taxes &amp; Benefits</v>
          </cell>
          <cell r="B52">
            <v>9230</v>
          </cell>
          <cell r="C52">
            <v>24623</v>
          </cell>
          <cell r="D52">
            <v>29334</v>
          </cell>
          <cell r="E52">
            <v>26255</v>
          </cell>
          <cell r="F52">
            <v>44706</v>
          </cell>
          <cell r="G52">
            <v>55707</v>
          </cell>
          <cell r="H52">
            <v>41066</v>
          </cell>
          <cell r="I52">
            <v>31347.514999999999</v>
          </cell>
          <cell r="J52">
            <v>31347.514999999999</v>
          </cell>
          <cell r="K52">
            <v>31347.514999999999</v>
          </cell>
          <cell r="L52">
            <v>41347.514999999963</v>
          </cell>
          <cell r="M52">
            <v>41347.514999999963</v>
          </cell>
          <cell r="N52">
            <v>407658.57499999995</v>
          </cell>
          <cell r="P52">
            <v>230921</v>
          </cell>
          <cell r="Q52">
            <v>176737.57499999992</v>
          </cell>
          <cell r="R52">
            <v>407658.57499999995</v>
          </cell>
        </row>
        <row r="54">
          <cell r="A54" t="str">
            <v>Contracted SPED - Instruction</v>
          </cell>
          <cell r="B54">
            <v>0</v>
          </cell>
          <cell r="C54">
            <v>0</v>
          </cell>
          <cell r="D54">
            <v>0</v>
          </cell>
          <cell r="E54">
            <v>15397</v>
          </cell>
          <cell r="F54">
            <v>0</v>
          </cell>
          <cell r="G54">
            <v>0</v>
          </cell>
          <cell r="H54">
            <v>0</v>
          </cell>
          <cell r="I54">
            <v>2730</v>
          </cell>
          <cell r="J54">
            <v>2730</v>
          </cell>
          <cell r="K54">
            <v>2730</v>
          </cell>
          <cell r="L54">
            <v>2730</v>
          </cell>
          <cell r="M54">
            <v>2730</v>
          </cell>
          <cell r="N54">
            <v>29047</v>
          </cell>
          <cell r="P54">
            <v>15397</v>
          </cell>
          <cell r="Q54">
            <v>13650</v>
          </cell>
          <cell r="R54">
            <v>29047</v>
          </cell>
        </row>
        <row r="56">
          <cell r="A56" t="str">
            <v>Total Cost of Compensation</v>
          </cell>
          <cell r="B56">
            <v>118950</v>
          </cell>
          <cell r="C56">
            <v>165734</v>
          </cell>
          <cell r="D56">
            <v>200132</v>
          </cell>
          <cell r="E56">
            <v>213551</v>
          </cell>
          <cell r="F56">
            <v>192762</v>
          </cell>
          <cell r="G56">
            <v>167887</v>
          </cell>
          <cell r="H56">
            <v>225285</v>
          </cell>
          <cell r="I56">
            <v>174050.18166666664</v>
          </cell>
          <cell r="J56">
            <v>174050.18166666664</v>
          </cell>
          <cell r="K56">
            <v>174050.18166666664</v>
          </cell>
          <cell r="L56">
            <v>184050.18166666661</v>
          </cell>
          <cell r="M56">
            <v>184050.18166666661</v>
          </cell>
          <cell r="N56">
            <v>2174551.9083333332</v>
          </cell>
          <cell r="P56">
            <v>1284301</v>
          </cell>
          <cell r="Q56">
            <v>890250.90833333333</v>
          </cell>
          <cell r="R56">
            <v>2174551.9083333332</v>
          </cell>
        </row>
        <row r="58">
          <cell r="A58" t="str">
            <v>Revenues Less Total Compensation</v>
          </cell>
          <cell r="B58">
            <v>234561</v>
          </cell>
          <cell r="C58">
            <v>195652</v>
          </cell>
          <cell r="D58">
            <v>43297</v>
          </cell>
          <cell r="E58">
            <v>119692</v>
          </cell>
          <cell r="F58">
            <v>133900.65999999997</v>
          </cell>
          <cell r="G58">
            <v>172379.15999999997</v>
          </cell>
          <cell r="H58">
            <v>110511</v>
          </cell>
          <cell r="I58">
            <v>165450.14033333334</v>
          </cell>
          <cell r="J58">
            <v>168403.45433333336</v>
          </cell>
          <cell r="K58">
            <v>167496.82633333339</v>
          </cell>
          <cell r="L58">
            <v>156434.55833333338</v>
          </cell>
          <cell r="M58">
            <v>179465.70233333341</v>
          </cell>
          <cell r="N58">
            <v>1847243.5016666667</v>
          </cell>
          <cell r="P58">
            <v>1009992.8199999998</v>
          </cell>
          <cell r="Q58">
            <v>837250.68166666676</v>
          </cell>
          <cell r="R58">
            <v>1847243.5016666665</v>
          </cell>
        </row>
        <row r="60">
          <cell r="A60" t="str">
            <v>Professional Services</v>
          </cell>
        </row>
        <row r="61">
          <cell r="A61" t="str">
            <v>Legal Fees</v>
          </cell>
          <cell r="B61">
            <v>0</v>
          </cell>
          <cell r="C61">
            <v>0</v>
          </cell>
          <cell r="D61">
            <v>0</v>
          </cell>
          <cell r="E61">
            <v>0</v>
          </cell>
          <cell r="F61">
            <v>0</v>
          </cell>
          <cell r="G61">
            <v>0</v>
          </cell>
          <cell r="H61">
            <v>0</v>
          </cell>
          <cell r="I61">
            <v>364</v>
          </cell>
          <cell r="J61">
            <v>364</v>
          </cell>
          <cell r="K61">
            <v>364</v>
          </cell>
          <cell r="L61">
            <v>364</v>
          </cell>
          <cell r="M61">
            <v>364</v>
          </cell>
          <cell r="N61">
            <v>1820</v>
          </cell>
          <cell r="P61">
            <v>0</v>
          </cell>
          <cell r="Q61">
            <v>1820</v>
          </cell>
          <cell r="R61">
            <v>1820</v>
          </cell>
        </row>
        <row r="62">
          <cell r="A62" t="str">
            <v>Accounting Services</v>
          </cell>
          <cell r="B62">
            <v>198</v>
          </cell>
          <cell r="C62">
            <v>752</v>
          </cell>
          <cell r="D62">
            <v>0</v>
          </cell>
          <cell r="E62">
            <v>0</v>
          </cell>
          <cell r="F62">
            <v>0</v>
          </cell>
          <cell r="G62">
            <v>0</v>
          </cell>
          <cell r="H62">
            <v>0</v>
          </cell>
          <cell r="I62">
            <v>409.5</v>
          </cell>
          <cell r="J62">
            <v>409.5</v>
          </cell>
          <cell r="K62">
            <v>409.5</v>
          </cell>
          <cell r="L62">
            <v>409.5</v>
          </cell>
          <cell r="M62">
            <v>409.5</v>
          </cell>
          <cell r="N62">
            <v>2997.5</v>
          </cell>
          <cell r="P62">
            <v>950</v>
          </cell>
          <cell r="Q62">
            <v>2047.5</v>
          </cell>
          <cell r="R62">
            <v>2997.5</v>
          </cell>
        </row>
        <row r="63">
          <cell r="A63" t="str">
            <v>Consulting Fees</v>
          </cell>
          <cell r="B63">
            <v>713</v>
          </cell>
          <cell r="C63">
            <v>8937</v>
          </cell>
          <cell r="D63">
            <v>2723</v>
          </cell>
          <cell r="E63">
            <v>-12373</v>
          </cell>
          <cell r="F63">
            <v>480</v>
          </cell>
          <cell r="G63">
            <v>0</v>
          </cell>
          <cell r="H63">
            <v>4713</v>
          </cell>
          <cell r="I63">
            <v>1820</v>
          </cell>
          <cell r="J63">
            <v>1820</v>
          </cell>
          <cell r="K63">
            <v>1820</v>
          </cell>
          <cell r="L63">
            <v>1820</v>
          </cell>
          <cell r="M63">
            <v>1820</v>
          </cell>
          <cell r="N63">
            <v>14293</v>
          </cell>
          <cell r="P63">
            <v>5193</v>
          </cell>
          <cell r="Q63">
            <v>9100</v>
          </cell>
          <cell r="R63">
            <v>14293</v>
          </cell>
        </row>
        <row r="64">
          <cell r="A64" t="str">
            <v>Bank Service Fees</v>
          </cell>
          <cell r="B64">
            <v>0</v>
          </cell>
          <cell r="C64">
            <v>0</v>
          </cell>
          <cell r="D64">
            <v>0</v>
          </cell>
          <cell r="E64">
            <v>0</v>
          </cell>
          <cell r="F64">
            <v>0</v>
          </cell>
          <cell r="G64">
            <v>0</v>
          </cell>
          <cell r="H64">
            <v>0</v>
          </cell>
          <cell r="I64">
            <v>136.5</v>
          </cell>
          <cell r="J64">
            <v>136.5</v>
          </cell>
          <cell r="K64">
            <v>136.5</v>
          </cell>
          <cell r="L64">
            <v>136.5</v>
          </cell>
          <cell r="M64">
            <v>136.5</v>
          </cell>
          <cell r="N64">
            <v>682.5</v>
          </cell>
          <cell r="P64">
            <v>0</v>
          </cell>
          <cell r="Q64">
            <v>682.5</v>
          </cell>
          <cell r="R64">
            <v>682.5</v>
          </cell>
        </row>
        <row r="65">
          <cell r="A65" t="str">
            <v>Computer Service Fees</v>
          </cell>
          <cell r="B65">
            <v>482</v>
          </cell>
          <cell r="C65">
            <v>482</v>
          </cell>
          <cell r="D65">
            <v>482</v>
          </cell>
          <cell r="E65">
            <v>0</v>
          </cell>
          <cell r="F65">
            <v>0</v>
          </cell>
          <cell r="G65">
            <v>965</v>
          </cell>
          <cell r="H65">
            <v>1703</v>
          </cell>
          <cell r="I65">
            <v>750</v>
          </cell>
          <cell r="J65">
            <v>750</v>
          </cell>
          <cell r="K65">
            <v>750</v>
          </cell>
          <cell r="L65">
            <v>750</v>
          </cell>
          <cell r="M65">
            <v>750</v>
          </cell>
          <cell r="N65">
            <v>7864</v>
          </cell>
          <cell r="P65">
            <v>4114</v>
          </cell>
          <cell r="Q65">
            <v>3750</v>
          </cell>
          <cell r="R65">
            <v>7864</v>
          </cell>
        </row>
        <row r="66">
          <cell r="A66" t="str">
            <v>Temporary Agency Fees</v>
          </cell>
          <cell r="B66">
            <v>0</v>
          </cell>
          <cell r="C66">
            <v>0</v>
          </cell>
          <cell r="D66">
            <v>0</v>
          </cell>
          <cell r="E66">
            <v>0</v>
          </cell>
          <cell r="F66">
            <v>0</v>
          </cell>
          <cell r="G66">
            <v>0</v>
          </cell>
          <cell r="H66">
            <v>0</v>
          </cell>
          <cell r="I66">
            <v>0</v>
          </cell>
          <cell r="J66">
            <v>0</v>
          </cell>
          <cell r="K66">
            <v>0</v>
          </cell>
          <cell r="L66">
            <v>0</v>
          </cell>
          <cell r="M66">
            <v>0</v>
          </cell>
          <cell r="N66">
            <v>0</v>
          </cell>
          <cell r="P66">
            <v>0</v>
          </cell>
          <cell r="Q66">
            <v>0</v>
          </cell>
          <cell r="R66">
            <v>0</v>
          </cell>
        </row>
        <row r="67">
          <cell r="A67" t="str">
            <v>Recruiting Fees</v>
          </cell>
          <cell r="B67">
            <v>0</v>
          </cell>
          <cell r="C67">
            <v>779</v>
          </cell>
          <cell r="D67">
            <v>0</v>
          </cell>
          <cell r="E67">
            <v>0</v>
          </cell>
          <cell r="F67">
            <v>0</v>
          </cell>
          <cell r="G67">
            <v>0</v>
          </cell>
          <cell r="H67">
            <v>0</v>
          </cell>
          <cell r="I67">
            <v>0</v>
          </cell>
          <cell r="J67">
            <v>0</v>
          </cell>
          <cell r="K67">
            <v>1820</v>
          </cell>
          <cell r="L67">
            <v>1820</v>
          </cell>
          <cell r="M67">
            <v>1820</v>
          </cell>
          <cell r="N67">
            <v>6239</v>
          </cell>
          <cell r="P67">
            <v>779</v>
          </cell>
          <cell r="Q67">
            <v>5460</v>
          </cell>
          <cell r="R67">
            <v>6239</v>
          </cell>
        </row>
        <row r="68">
          <cell r="A68" t="str">
            <v>School Management Fees</v>
          </cell>
          <cell r="B68">
            <v>58283</v>
          </cell>
          <cell r="C68">
            <v>63568</v>
          </cell>
          <cell r="D68">
            <v>83551</v>
          </cell>
          <cell r="E68">
            <v>73313</v>
          </cell>
          <cell r="F68">
            <v>71865</v>
          </cell>
          <cell r="G68">
            <v>74859</v>
          </cell>
          <cell r="H68">
            <v>73875</v>
          </cell>
          <cell r="I68">
            <v>74690.07084</v>
          </cell>
          <cell r="J68">
            <v>75339.799920000005</v>
          </cell>
          <cell r="K68">
            <v>75140.34176000001</v>
          </cell>
          <cell r="L68">
            <v>74906.642800000001</v>
          </cell>
          <cell r="M68">
            <v>79973.494480000008</v>
          </cell>
          <cell r="N68">
            <v>879364.34979999997</v>
          </cell>
          <cell r="P68">
            <v>499314</v>
          </cell>
          <cell r="Q68">
            <v>380050.34980000003</v>
          </cell>
          <cell r="R68">
            <v>879364.34979999997</v>
          </cell>
        </row>
        <row r="69">
          <cell r="A69" t="str">
            <v xml:space="preserve">Marketing &amp; Enrollment Fees </v>
          </cell>
          <cell r="B69">
            <v>0</v>
          </cell>
          <cell r="C69">
            <v>0</v>
          </cell>
          <cell r="D69">
            <v>0</v>
          </cell>
          <cell r="E69">
            <v>0</v>
          </cell>
          <cell r="F69">
            <v>0</v>
          </cell>
          <cell r="G69">
            <v>0</v>
          </cell>
          <cell r="H69">
            <v>0</v>
          </cell>
          <cell r="I69">
            <v>0</v>
          </cell>
          <cell r="J69">
            <v>0</v>
          </cell>
          <cell r="K69">
            <v>300</v>
          </cell>
          <cell r="L69">
            <v>300</v>
          </cell>
          <cell r="M69">
            <v>300</v>
          </cell>
          <cell r="N69">
            <v>900</v>
          </cell>
          <cell r="P69">
            <v>0</v>
          </cell>
          <cell r="Q69">
            <v>900</v>
          </cell>
          <cell r="R69">
            <v>900</v>
          </cell>
        </row>
        <row r="70">
          <cell r="A70" t="str">
            <v>Local Advertising Fund</v>
          </cell>
          <cell r="B70">
            <v>1479</v>
          </cell>
          <cell r="C70">
            <v>304</v>
          </cell>
          <cell r="D70">
            <v>0</v>
          </cell>
          <cell r="E70">
            <v>0</v>
          </cell>
          <cell r="F70">
            <v>90</v>
          </cell>
          <cell r="G70">
            <v>-290</v>
          </cell>
          <cell r="H70">
            <v>-265</v>
          </cell>
          <cell r="I70">
            <v>0</v>
          </cell>
          <cell r="J70">
            <v>0</v>
          </cell>
          <cell r="K70">
            <v>500</v>
          </cell>
          <cell r="L70">
            <v>1000</v>
          </cell>
          <cell r="M70">
            <v>3500</v>
          </cell>
          <cell r="N70">
            <v>6318</v>
          </cell>
          <cell r="P70">
            <v>1318</v>
          </cell>
          <cell r="Q70">
            <v>5000</v>
          </cell>
          <cell r="R70">
            <v>6318</v>
          </cell>
        </row>
        <row r="71">
          <cell r="B71">
            <v>61155</v>
          </cell>
          <cell r="C71">
            <v>74822</v>
          </cell>
          <cell r="D71">
            <v>86756</v>
          </cell>
          <cell r="E71">
            <v>60940</v>
          </cell>
          <cell r="F71">
            <v>72435</v>
          </cell>
          <cell r="G71">
            <v>75534</v>
          </cell>
          <cell r="H71">
            <v>80026</v>
          </cell>
          <cell r="I71">
            <v>78170.07084</v>
          </cell>
          <cell r="J71">
            <v>78819.799920000005</v>
          </cell>
          <cell r="K71">
            <v>81240.34176000001</v>
          </cell>
          <cell r="L71">
            <v>81506.642800000001</v>
          </cell>
          <cell r="M71">
            <v>89073.494480000008</v>
          </cell>
          <cell r="N71">
            <v>920478.34979999997</v>
          </cell>
          <cell r="P71">
            <v>511668</v>
          </cell>
          <cell r="Q71">
            <v>408810.34980000003</v>
          </cell>
          <cell r="R71">
            <v>920478.34979999997</v>
          </cell>
        </row>
        <row r="73">
          <cell r="A73" t="str">
            <v>Vendor Services</v>
          </cell>
        </row>
        <row r="74">
          <cell r="A74" t="str">
            <v>Contracted Pupil Transportation</v>
          </cell>
          <cell r="B74">
            <v>244</v>
          </cell>
          <cell r="C74">
            <v>19800</v>
          </cell>
          <cell r="D74">
            <v>20146</v>
          </cell>
          <cell r="E74">
            <v>19962</v>
          </cell>
          <cell r="F74">
            <v>30909</v>
          </cell>
          <cell r="G74">
            <v>39288</v>
          </cell>
          <cell r="H74">
            <v>35989</v>
          </cell>
          <cell r="I74">
            <v>35000</v>
          </cell>
          <cell r="J74">
            <v>35000</v>
          </cell>
          <cell r="K74">
            <v>35000</v>
          </cell>
          <cell r="L74">
            <v>35000</v>
          </cell>
          <cell r="M74">
            <v>35000</v>
          </cell>
          <cell r="N74">
            <v>341338</v>
          </cell>
          <cell r="P74">
            <v>166338</v>
          </cell>
          <cell r="Q74">
            <v>175000</v>
          </cell>
          <cell r="R74">
            <v>341338</v>
          </cell>
        </row>
        <row r="75">
          <cell r="A75" t="str">
            <v>Contracted Food Service</v>
          </cell>
          <cell r="B75">
            <v>0</v>
          </cell>
          <cell r="C75">
            <v>7875</v>
          </cell>
          <cell r="D75">
            <v>13854</v>
          </cell>
          <cell r="E75">
            <v>43457</v>
          </cell>
          <cell r="F75">
            <v>27671</v>
          </cell>
          <cell r="G75">
            <v>71018</v>
          </cell>
          <cell r="H75">
            <v>44069</v>
          </cell>
          <cell r="I75">
            <v>46107.242999999995</v>
          </cell>
          <cell r="J75">
            <v>53387.333999999995</v>
          </cell>
          <cell r="K75">
            <v>38827.152000000002</v>
          </cell>
          <cell r="L75">
            <v>48533.94</v>
          </cell>
          <cell r="M75">
            <v>43680.546000000002</v>
          </cell>
          <cell r="N75">
            <v>438480.21499999997</v>
          </cell>
          <cell r="P75">
            <v>207944</v>
          </cell>
          <cell r="Q75">
            <v>230536.215</v>
          </cell>
          <cell r="R75">
            <v>438480.21499999997</v>
          </cell>
        </row>
        <row r="76">
          <cell r="A76" t="str">
            <v>Contracted SPED - Non-Instruction</v>
          </cell>
          <cell r="B76">
            <v>0</v>
          </cell>
          <cell r="C76">
            <v>0</v>
          </cell>
          <cell r="D76">
            <v>0</v>
          </cell>
          <cell r="E76">
            <v>661</v>
          </cell>
          <cell r="F76">
            <v>2183</v>
          </cell>
          <cell r="G76">
            <v>1507</v>
          </cell>
          <cell r="H76">
            <v>2595</v>
          </cell>
          <cell r="I76">
            <v>0</v>
          </cell>
          <cell r="J76">
            <v>0</v>
          </cell>
          <cell r="K76">
            <v>0</v>
          </cell>
          <cell r="L76">
            <v>0</v>
          </cell>
          <cell r="M76">
            <v>0</v>
          </cell>
          <cell r="N76">
            <v>6946</v>
          </cell>
          <cell r="P76">
            <v>6946</v>
          </cell>
          <cell r="Q76">
            <v>0</v>
          </cell>
          <cell r="R76">
            <v>6946</v>
          </cell>
        </row>
        <row r="77">
          <cell r="A77" t="str">
            <v>Contracted Custodial Services</v>
          </cell>
          <cell r="B77">
            <v>0</v>
          </cell>
          <cell r="C77">
            <v>0</v>
          </cell>
          <cell r="D77">
            <v>0</v>
          </cell>
          <cell r="E77">
            <v>0</v>
          </cell>
          <cell r="F77">
            <v>0</v>
          </cell>
          <cell r="G77">
            <v>6390</v>
          </cell>
          <cell r="H77">
            <v>0</v>
          </cell>
          <cell r="I77">
            <v>1958.6666666666667</v>
          </cell>
          <cell r="J77">
            <v>1958.6666666666667</v>
          </cell>
          <cell r="K77">
            <v>1958.6666666666667</v>
          </cell>
          <cell r="L77">
            <v>1958.6666666666667</v>
          </cell>
          <cell r="M77">
            <v>1958.6666666666667</v>
          </cell>
          <cell r="N77">
            <v>16183.333333333334</v>
          </cell>
          <cell r="P77">
            <v>6390</v>
          </cell>
          <cell r="Q77">
            <v>9793.3333333333339</v>
          </cell>
          <cell r="R77">
            <v>16183.333333333334</v>
          </cell>
        </row>
        <row r="78">
          <cell r="A78" t="str">
            <v>Contracted Maintenance</v>
          </cell>
          <cell r="B78">
            <v>0</v>
          </cell>
          <cell r="C78">
            <v>0</v>
          </cell>
          <cell r="D78">
            <v>0</v>
          </cell>
          <cell r="E78">
            <v>0</v>
          </cell>
          <cell r="F78">
            <v>0</v>
          </cell>
          <cell r="G78">
            <v>0</v>
          </cell>
          <cell r="H78">
            <v>0</v>
          </cell>
          <cell r="I78">
            <v>0</v>
          </cell>
          <cell r="J78">
            <v>0</v>
          </cell>
          <cell r="K78">
            <v>0</v>
          </cell>
          <cell r="L78">
            <v>0</v>
          </cell>
          <cell r="M78">
            <v>0</v>
          </cell>
          <cell r="N78">
            <v>0</v>
          </cell>
          <cell r="P78">
            <v>0</v>
          </cell>
          <cell r="Q78">
            <v>0</v>
          </cell>
          <cell r="R78">
            <v>0</v>
          </cell>
        </row>
        <row r="79">
          <cell r="B79">
            <v>244</v>
          </cell>
          <cell r="C79">
            <v>27675</v>
          </cell>
          <cell r="D79">
            <v>34000</v>
          </cell>
          <cell r="E79">
            <v>64080</v>
          </cell>
          <cell r="F79">
            <v>60763</v>
          </cell>
          <cell r="G79">
            <v>118203</v>
          </cell>
          <cell r="H79">
            <v>82653</v>
          </cell>
          <cell r="I79">
            <v>83065.909666666659</v>
          </cell>
          <cell r="J79">
            <v>90346.000666666674</v>
          </cell>
          <cell r="K79">
            <v>75785.818666666673</v>
          </cell>
          <cell r="L79">
            <v>85492.606666666674</v>
          </cell>
          <cell r="M79">
            <v>80639.212666666674</v>
          </cell>
          <cell r="N79">
            <v>802947.54833333334</v>
          </cell>
          <cell r="P79">
            <v>387618</v>
          </cell>
          <cell r="Q79">
            <v>415329.54833333328</v>
          </cell>
          <cell r="R79">
            <v>802947.54833333334</v>
          </cell>
        </row>
        <row r="81">
          <cell r="A81" t="str">
            <v>Administrative Expenses</v>
          </cell>
        </row>
        <row r="82">
          <cell r="A82" t="str">
            <v>Travel/Auto</v>
          </cell>
          <cell r="B82">
            <v>0</v>
          </cell>
          <cell r="C82">
            <v>0</v>
          </cell>
          <cell r="D82">
            <v>581</v>
          </cell>
          <cell r="E82">
            <v>350</v>
          </cell>
          <cell r="F82">
            <v>0</v>
          </cell>
          <cell r="G82">
            <v>0</v>
          </cell>
          <cell r="H82">
            <v>1385</v>
          </cell>
          <cell r="I82">
            <v>114</v>
          </cell>
          <cell r="J82">
            <v>114</v>
          </cell>
          <cell r="K82">
            <v>114</v>
          </cell>
          <cell r="L82">
            <v>114</v>
          </cell>
          <cell r="M82">
            <v>114</v>
          </cell>
          <cell r="N82">
            <v>2886</v>
          </cell>
          <cell r="P82">
            <v>2316</v>
          </cell>
          <cell r="Q82">
            <v>570</v>
          </cell>
          <cell r="R82">
            <v>2886</v>
          </cell>
        </row>
        <row r="83">
          <cell r="A83" t="str">
            <v>Airfare</v>
          </cell>
          <cell r="B83">
            <v>0</v>
          </cell>
          <cell r="C83">
            <v>285</v>
          </cell>
          <cell r="D83">
            <v>990</v>
          </cell>
          <cell r="E83">
            <v>0</v>
          </cell>
          <cell r="F83">
            <v>0</v>
          </cell>
          <cell r="G83">
            <v>-285</v>
          </cell>
          <cell r="H83">
            <v>149</v>
          </cell>
          <cell r="I83">
            <v>0</v>
          </cell>
          <cell r="J83">
            <v>0</v>
          </cell>
          <cell r="K83">
            <v>0</v>
          </cell>
          <cell r="L83">
            <v>0</v>
          </cell>
          <cell r="M83">
            <v>0</v>
          </cell>
          <cell r="N83">
            <v>1139</v>
          </cell>
          <cell r="P83">
            <v>1139</v>
          </cell>
          <cell r="Q83">
            <v>0</v>
          </cell>
          <cell r="R83">
            <v>1139</v>
          </cell>
        </row>
        <row r="84">
          <cell r="A84" t="str">
            <v>Meals</v>
          </cell>
          <cell r="B84">
            <v>0</v>
          </cell>
          <cell r="C84">
            <v>80</v>
          </cell>
          <cell r="D84">
            <v>277</v>
          </cell>
          <cell r="E84">
            <v>0</v>
          </cell>
          <cell r="F84">
            <v>0</v>
          </cell>
          <cell r="G84">
            <v>0</v>
          </cell>
          <cell r="H84">
            <v>72</v>
          </cell>
          <cell r="I84">
            <v>85.5</v>
          </cell>
          <cell r="J84">
            <v>85.5</v>
          </cell>
          <cell r="K84">
            <v>85.5</v>
          </cell>
          <cell r="L84">
            <v>85.5</v>
          </cell>
          <cell r="M84">
            <v>85.5</v>
          </cell>
          <cell r="N84">
            <v>856.5</v>
          </cell>
          <cell r="P84">
            <v>429</v>
          </cell>
          <cell r="Q84">
            <v>427.5</v>
          </cell>
          <cell r="R84">
            <v>856.5</v>
          </cell>
        </row>
        <row r="85">
          <cell r="A85" t="str">
            <v>Lodging</v>
          </cell>
          <cell r="B85">
            <v>0</v>
          </cell>
          <cell r="C85">
            <v>0</v>
          </cell>
          <cell r="D85">
            <v>698</v>
          </cell>
          <cell r="E85">
            <v>0</v>
          </cell>
          <cell r="F85">
            <v>0</v>
          </cell>
          <cell r="G85">
            <v>0</v>
          </cell>
          <cell r="H85">
            <v>0</v>
          </cell>
          <cell r="I85">
            <v>142.5</v>
          </cell>
          <cell r="J85">
            <v>142.5</v>
          </cell>
          <cell r="K85">
            <v>142.5</v>
          </cell>
          <cell r="L85">
            <v>142.5</v>
          </cell>
          <cell r="M85">
            <v>142.5</v>
          </cell>
          <cell r="N85">
            <v>1410.5</v>
          </cell>
          <cell r="P85">
            <v>698</v>
          </cell>
          <cell r="Q85">
            <v>712.5</v>
          </cell>
          <cell r="R85">
            <v>1410.5</v>
          </cell>
        </row>
        <row r="86">
          <cell r="A86" t="str">
            <v>Business Expense - Other</v>
          </cell>
          <cell r="B86">
            <v>0</v>
          </cell>
          <cell r="C86">
            <v>0</v>
          </cell>
          <cell r="D86">
            <v>0</v>
          </cell>
          <cell r="E86">
            <v>0</v>
          </cell>
          <cell r="F86">
            <v>0</v>
          </cell>
          <cell r="G86">
            <v>0</v>
          </cell>
          <cell r="H86">
            <v>0</v>
          </cell>
          <cell r="I86">
            <v>0</v>
          </cell>
          <cell r="J86">
            <v>0</v>
          </cell>
          <cell r="K86">
            <v>0</v>
          </cell>
          <cell r="L86">
            <v>0</v>
          </cell>
          <cell r="M86">
            <v>0</v>
          </cell>
          <cell r="N86">
            <v>0</v>
          </cell>
          <cell r="P86">
            <v>0</v>
          </cell>
          <cell r="Q86">
            <v>0</v>
          </cell>
          <cell r="R86">
            <v>0</v>
          </cell>
        </row>
        <row r="87">
          <cell r="A87" t="str">
            <v>Dues &amp; Subscriptions</v>
          </cell>
          <cell r="B87">
            <v>0</v>
          </cell>
          <cell r="C87">
            <v>0</v>
          </cell>
          <cell r="D87">
            <v>32</v>
          </cell>
          <cell r="E87">
            <v>0</v>
          </cell>
          <cell r="F87">
            <v>0</v>
          </cell>
          <cell r="G87">
            <v>0</v>
          </cell>
          <cell r="H87">
            <v>0</v>
          </cell>
          <cell r="I87">
            <v>114</v>
          </cell>
          <cell r="J87">
            <v>114</v>
          </cell>
          <cell r="K87">
            <v>114</v>
          </cell>
          <cell r="L87">
            <v>114</v>
          </cell>
          <cell r="M87">
            <v>114</v>
          </cell>
          <cell r="N87">
            <v>602</v>
          </cell>
          <cell r="P87">
            <v>32</v>
          </cell>
          <cell r="Q87">
            <v>570</v>
          </cell>
          <cell r="R87">
            <v>602</v>
          </cell>
        </row>
        <row r="88">
          <cell r="A88" t="str">
            <v>Printing</v>
          </cell>
          <cell r="B88">
            <v>2315</v>
          </cell>
          <cell r="C88">
            <v>170</v>
          </cell>
          <cell r="D88">
            <v>0</v>
          </cell>
          <cell r="E88">
            <v>1349</v>
          </cell>
          <cell r="F88">
            <v>0</v>
          </cell>
          <cell r="G88">
            <v>0</v>
          </cell>
          <cell r="H88">
            <v>0</v>
          </cell>
          <cell r="I88">
            <v>1228.5</v>
          </cell>
          <cell r="J88">
            <v>1228.5</v>
          </cell>
          <cell r="K88">
            <v>1228.5</v>
          </cell>
          <cell r="L88">
            <v>1228.5</v>
          </cell>
          <cell r="M88">
            <v>1228.5</v>
          </cell>
          <cell r="N88">
            <v>9976.5</v>
          </cell>
          <cell r="P88">
            <v>3834</v>
          </cell>
          <cell r="Q88">
            <v>6142.5</v>
          </cell>
          <cell r="R88">
            <v>9976.5</v>
          </cell>
        </row>
        <row r="89">
          <cell r="A89" t="str">
            <v>Office Supplies</v>
          </cell>
          <cell r="B89">
            <v>1862</v>
          </cell>
          <cell r="C89">
            <v>2075</v>
          </cell>
          <cell r="D89">
            <v>4898</v>
          </cell>
          <cell r="E89">
            <v>7594</v>
          </cell>
          <cell r="F89">
            <v>1500</v>
          </cell>
          <cell r="G89">
            <v>9193</v>
          </cell>
          <cell r="H89">
            <v>723</v>
          </cell>
          <cell r="I89">
            <v>1456</v>
          </cell>
          <cell r="J89">
            <v>1456</v>
          </cell>
          <cell r="K89">
            <v>1456</v>
          </cell>
          <cell r="L89">
            <v>1456</v>
          </cell>
          <cell r="M89">
            <v>1456</v>
          </cell>
          <cell r="N89">
            <v>35125</v>
          </cell>
          <cell r="P89">
            <v>27845</v>
          </cell>
          <cell r="Q89">
            <v>7280</v>
          </cell>
          <cell r="R89">
            <v>35125</v>
          </cell>
        </row>
        <row r="90">
          <cell r="A90" t="str">
            <v>In-house Food Service - Cost of Food</v>
          </cell>
          <cell r="B90">
            <v>0</v>
          </cell>
          <cell r="C90">
            <v>0</v>
          </cell>
          <cell r="D90">
            <v>0</v>
          </cell>
          <cell r="E90">
            <v>0</v>
          </cell>
          <cell r="F90">
            <v>0</v>
          </cell>
          <cell r="G90">
            <v>0</v>
          </cell>
          <cell r="H90">
            <v>0</v>
          </cell>
          <cell r="I90">
            <v>0</v>
          </cell>
          <cell r="J90">
            <v>0</v>
          </cell>
          <cell r="K90">
            <v>0</v>
          </cell>
          <cell r="L90">
            <v>0</v>
          </cell>
          <cell r="M90">
            <v>0</v>
          </cell>
          <cell r="N90">
            <v>0</v>
          </cell>
          <cell r="P90">
            <v>0</v>
          </cell>
          <cell r="Q90">
            <v>0</v>
          </cell>
          <cell r="R90">
            <v>0</v>
          </cell>
        </row>
        <row r="91">
          <cell r="A91" t="str">
            <v>Food Service - Paper and Smallwares</v>
          </cell>
          <cell r="B91">
            <v>0</v>
          </cell>
          <cell r="C91">
            <v>0</v>
          </cell>
          <cell r="D91">
            <v>0</v>
          </cell>
          <cell r="E91">
            <v>0</v>
          </cell>
          <cell r="F91">
            <v>0</v>
          </cell>
          <cell r="G91">
            <v>0</v>
          </cell>
          <cell r="H91">
            <v>0</v>
          </cell>
          <cell r="I91">
            <v>0</v>
          </cell>
          <cell r="J91">
            <v>0</v>
          </cell>
          <cell r="K91">
            <v>0</v>
          </cell>
          <cell r="L91">
            <v>0</v>
          </cell>
          <cell r="M91">
            <v>0</v>
          </cell>
          <cell r="N91">
            <v>0</v>
          </cell>
          <cell r="P91">
            <v>0</v>
          </cell>
          <cell r="Q91">
            <v>0</v>
          </cell>
          <cell r="R91">
            <v>0</v>
          </cell>
        </row>
        <row r="92">
          <cell r="A92" t="str">
            <v>Medical Supplies</v>
          </cell>
          <cell r="B92">
            <v>0</v>
          </cell>
          <cell r="C92">
            <v>0</v>
          </cell>
          <cell r="D92">
            <v>0</v>
          </cell>
          <cell r="E92">
            <v>1201</v>
          </cell>
          <cell r="F92">
            <v>0</v>
          </cell>
          <cell r="G92">
            <v>196</v>
          </cell>
          <cell r="H92">
            <v>43</v>
          </cell>
          <cell r="I92">
            <v>204.75</v>
          </cell>
          <cell r="J92">
            <v>204.75</v>
          </cell>
          <cell r="K92">
            <v>204.75</v>
          </cell>
          <cell r="L92">
            <v>204.75</v>
          </cell>
          <cell r="M92">
            <v>204.75</v>
          </cell>
          <cell r="N92">
            <v>2463.75</v>
          </cell>
          <cell r="P92">
            <v>1440</v>
          </cell>
          <cell r="Q92">
            <v>1023.75</v>
          </cell>
          <cell r="R92">
            <v>2463.75</v>
          </cell>
        </row>
        <row r="93">
          <cell r="B93">
            <v>4177</v>
          </cell>
          <cell r="C93">
            <v>2610</v>
          </cell>
          <cell r="D93">
            <v>7476</v>
          </cell>
          <cell r="E93">
            <v>10494</v>
          </cell>
          <cell r="F93">
            <v>1500</v>
          </cell>
          <cell r="G93">
            <v>9104</v>
          </cell>
          <cell r="H93">
            <v>2372</v>
          </cell>
          <cell r="I93">
            <v>3345.25</v>
          </cell>
          <cell r="J93">
            <v>3345.25</v>
          </cell>
          <cell r="K93">
            <v>3345.25</v>
          </cell>
          <cell r="L93">
            <v>3345.25</v>
          </cell>
          <cell r="M93">
            <v>3345.25</v>
          </cell>
          <cell r="N93">
            <v>54459.25</v>
          </cell>
          <cell r="P93">
            <v>37733</v>
          </cell>
          <cell r="Q93">
            <v>16726.25</v>
          </cell>
          <cell r="R93">
            <v>54459.25</v>
          </cell>
        </row>
        <row r="95">
          <cell r="A95" t="str">
            <v>Instruction Expense</v>
          </cell>
        </row>
        <row r="96">
          <cell r="A96" t="str">
            <v>Textbooks</v>
          </cell>
          <cell r="B96">
            <v>0</v>
          </cell>
          <cell r="C96">
            <v>347</v>
          </cell>
          <cell r="D96">
            <v>0</v>
          </cell>
          <cell r="E96">
            <v>389</v>
          </cell>
          <cell r="F96">
            <v>0</v>
          </cell>
          <cell r="G96">
            <v>0</v>
          </cell>
          <cell r="H96">
            <v>501</v>
          </cell>
          <cell r="I96">
            <v>0</v>
          </cell>
          <cell r="J96">
            <v>0</v>
          </cell>
          <cell r="K96">
            <v>0</v>
          </cell>
          <cell r="L96">
            <v>0</v>
          </cell>
          <cell r="M96">
            <v>0</v>
          </cell>
          <cell r="N96">
            <v>1237</v>
          </cell>
          <cell r="P96">
            <v>1237</v>
          </cell>
          <cell r="Q96">
            <v>0</v>
          </cell>
          <cell r="R96">
            <v>1237</v>
          </cell>
        </row>
        <row r="97">
          <cell r="A97" t="str">
            <v>Library &amp; Reference Books</v>
          </cell>
          <cell r="B97">
            <v>1610</v>
          </cell>
          <cell r="C97">
            <v>0</v>
          </cell>
          <cell r="D97">
            <v>0</v>
          </cell>
          <cell r="E97">
            <v>132</v>
          </cell>
          <cell r="F97">
            <v>312</v>
          </cell>
          <cell r="G97">
            <v>333</v>
          </cell>
          <cell r="H97">
            <v>715</v>
          </cell>
          <cell r="I97">
            <v>156.97499999999999</v>
          </cell>
          <cell r="J97">
            <v>156.97499999999999</v>
          </cell>
          <cell r="K97">
            <v>156.97499999999999</v>
          </cell>
          <cell r="L97">
            <v>156.97499999999999</v>
          </cell>
          <cell r="M97">
            <v>156.97499999999999</v>
          </cell>
          <cell r="N97">
            <v>3886.875</v>
          </cell>
          <cell r="P97">
            <v>3102</v>
          </cell>
          <cell r="Q97">
            <v>784.875</v>
          </cell>
          <cell r="R97">
            <v>3886.875</v>
          </cell>
        </row>
        <row r="98">
          <cell r="A98" t="str">
            <v>Other Publications</v>
          </cell>
          <cell r="B98">
            <v>0</v>
          </cell>
          <cell r="C98">
            <v>54</v>
          </cell>
          <cell r="D98">
            <v>2391</v>
          </cell>
          <cell r="E98">
            <v>1541</v>
          </cell>
          <cell r="F98">
            <v>0</v>
          </cell>
          <cell r="G98">
            <v>238</v>
          </cell>
          <cell r="H98">
            <v>0</v>
          </cell>
          <cell r="I98">
            <v>91</v>
          </cell>
          <cell r="J98">
            <v>91</v>
          </cell>
          <cell r="K98">
            <v>91</v>
          </cell>
          <cell r="L98">
            <v>91</v>
          </cell>
          <cell r="M98">
            <v>91</v>
          </cell>
          <cell r="N98">
            <v>4679</v>
          </cell>
          <cell r="P98">
            <v>4224</v>
          </cell>
          <cell r="Q98">
            <v>455</v>
          </cell>
          <cell r="R98">
            <v>4679</v>
          </cell>
        </row>
        <row r="99">
          <cell r="A99" t="str">
            <v>Instructional Supplies</v>
          </cell>
          <cell r="B99">
            <v>122</v>
          </cell>
          <cell r="C99">
            <v>2107</v>
          </cell>
          <cell r="D99">
            <v>1944</v>
          </cell>
          <cell r="E99">
            <v>3834</v>
          </cell>
          <cell r="F99">
            <v>2475</v>
          </cell>
          <cell r="G99">
            <v>2484</v>
          </cell>
          <cell r="H99">
            <v>2043</v>
          </cell>
          <cell r="I99">
            <v>350</v>
          </cell>
          <cell r="J99">
            <v>350</v>
          </cell>
          <cell r="K99">
            <v>350</v>
          </cell>
          <cell r="L99">
            <v>350</v>
          </cell>
          <cell r="M99">
            <v>350</v>
          </cell>
          <cell r="N99">
            <v>16759</v>
          </cell>
          <cell r="P99">
            <v>15009</v>
          </cell>
          <cell r="Q99">
            <v>1750</v>
          </cell>
          <cell r="R99">
            <v>16759</v>
          </cell>
        </row>
        <row r="100">
          <cell r="A100" t="str">
            <v>Sporting Goods</v>
          </cell>
          <cell r="B100">
            <v>0</v>
          </cell>
          <cell r="C100">
            <v>0</v>
          </cell>
          <cell r="D100">
            <v>758</v>
          </cell>
          <cell r="E100">
            <v>0</v>
          </cell>
          <cell r="F100">
            <v>1198</v>
          </cell>
          <cell r="G100">
            <v>203</v>
          </cell>
          <cell r="H100">
            <v>0</v>
          </cell>
          <cell r="I100">
            <v>72.8</v>
          </cell>
          <cell r="J100">
            <v>72.8</v>
          </cell>
          <cell r="K100">
            <v>72.8</v>
          </cell>
          <cell r="L100">
            <v>72.8</v>
          </cell>
          <cell r="M100">
            <v>72.8</v>
          </cell>
          <cell r="N100">
            <v>2523</v>
          </cell>
          <cell r="P100">
            <v>2159</v>
          </cell>
          <cell r="Q100">
            <v>364</v>
          </cell>
          <cell r="R100">
            <v>2523</v>
          </cell>
        </row>
        <row r="101">
          <cell r="B101">
            <v>1732</v>
          </cell>
          <cell r="C101">
            <v>2508</v>
          </cell>
          <cell r="D101">
            <v>5093</v>
          </cell>
          <cell r="E101">
            <v>5896</v>
          </cell>
          <cell r="F101">
            <v>3985</v>
          </cell>
          <cell r="G101">
            <v>3258</v>
          </cell>
          <cell r="H101">
            <v>3259</v>
          </cell>
          <cell r="I101">
            <v>670.77499999999998</v>
          </cell>
          <cell r="J101">
            <v>670.77499999999998</v>
          </cell>
          <cell r="K101">
            <v>670.77499999999998</v>
          </cell>
          <cell r="L101">
            <v>670.77499999999998</v>
          </cell>
          <cell r="M101">
            <v>670.77499999999998</v>
          </cell>
          <cell r="N101">
            <v>29084.875</v>
          </cell>
          <cell r="P101">
            <v>25731</v>
          </cell>
          <cell r="Q101">
            <v>3353.875</v>
          </cell>
          <cell r="R101">
            <v>29084.875</v>
          </cell>
        </row>
        <row r="103">
          <cell r="A103" t="str">
            <v>Other Operating Expenses</v>
          </cell>
        </row>
        <row r="104">
          <cell r="A104" t="str">
            <v>Telephone</v>
          </cell>
          <cell r="B104">
            <v>1200</v>
          </cell>
          <cell r="C104">
            <v>1255</v>
          </cell>
          <cell r="D104">
            <v>2791</v>
          </cell>
          <cell r="E104">
            <v>1381</v>
          </cell>
          <cell r="F104">
            <v>1200</v>
          </cell>
          <cell r="G104">
            <v>770</v>
          </cell>
          <cell r="H104">
            <v>2614</v>
          </cell>
          <cell r="I104">
            <v>950</v>
          </cell>
          <cell r="J104">
            <v>950</v>
          </cell>
          <cell r="K104">
            <v>950</v>
          </cell>
          <cell r="L104">
            <v>950</v>
          </cell>
          <cell r="M104">
            <v>950</v>
          </cell>
          <cell r="N104">
            <v>15961</v>
          </cell>
          <cell r="P104">
            <v>11211</v>
          </cell>
          <cell r="Q104">
            <v>4750</v>
          </cell>
          <cell r="R104">
            <v>15961</v>
          </cell>
        </row>
        <row r="105">
          <cell r="A105" t="str">
            <v>Postage</v>
          </cell>
          <cell r="B105">
            <v>242</v>
          </cell>
          <cell r="C105">
            <v>142</v>
          </cell>
          <cell r="D105">
            <v>815</v>
          </cell>
          <cell r="E105">
            <v>439</v>
          </cell>
          <cell r="F105">
            <v>15</v>
          </cell>
          <cell r="G105">
            <v>0</v>
          </cell>
          <cell r="H105">
            <v>0</v>
          </cell>
          <cell r="I105">
            <v>273</v>
          </cell>
          <cell r="J105">
            <v>273</v>
          </cell>
          <cell r="K105">
            <v>273</v>
          </cell>
          <cell r="L105">
            <v>273</v>
          </cell>
          <cell r="M105">
            <v>273</v>
          </cell>
          <cell r="N105">
            <v>3018</v>
          </cell>
          <cell r="P105">
            <v>1653</v>
          </cell>
          <cell r="Q105">
            <v>1365</v>
          </cell>
          <cell r="R105">
            <v>3018</v>
          </cell>
        </row>
        <row r="106">
          <cell r="A106" t="str">
            <v>Express Mail</v>
          </cell>
          <cell r="B106">
            <v>71</v>
          </cell>
          <cell r="C106">
            <v>0</v>
          </cell>
          <cell r="D106">
            <v>130</v>
          </cell>
          <cell r="E106">
            <v>6</v>
          </cell>
          <cell r="F106">
            <v>0</v>
          </cell>
          <cell r="G106">
            <v>0</v>
          </cell>
          <cell r="H106">
            <v>52</v>
          </cell>
          <cell r="I106">
            <v>163.80000000000001</v>
          </cell>
          <cell r="J106">
            <v>163.80000000000001</v>
          </cell>
          <cell r="K106">
            <v>163.80000000000001</v>
          </cell>
          <cell r="L106">
            <v>163.80000000000001</v>
          </cell>
          <cell r="M106">
            <v>163.80000000000001</v>
          </cell>
          <cell r="N106">
            <v>1078</v>
          </cell>
          <cell r="P106">
            <v>259</v>
          </cell>
          <cell r="Q106">
            <v>819</v>
          </cell>
          <cell r="R106">
            <v>1078</v>
          </cell>
        </row>
        <row r="107">
          <cell r="A107" t="str">
            <v>Electricity</v>
          </cell>
          <cell r="B107">
            <v>0</v>
          </cell>
          <cell r="C107">
            <v>0</v>
          </cell>
          <cell r="D107">
            <v>0</v>
          </cell>
          <cell r="E107">
            <v>0</v>
          </cell>
          <cell r="F107">
            <v>0</v>
          </cell>
          <cell r="G107">
            <v>0</v>
          </cell>
          <cell r="H107">
            <v>0</v>
          </cell>
          <cell r="I107">
            <v>0</v>
          </cell>
          <cell r="J107">
            <v>0</v>
          </cell>
          <cell r="K107">
            <v>0</v>
          </cell>
          <cell r="L107">
            <v>0</v>
          </cell>
          <cell r="M107">
            <v>0</v>
          </cell>
          <cell r="N107">
            <v>0</v>
          </cell>
          <cell r="P107">
            <v>0</v>
          </cell>
          <cell r="Q107">
            <v>0</v>
          </cell>
          <cell r="R107">
            <v>0</v>
          </cell>
        </row>
        <row r="108">
          <cell r="A108" t="str">
            <v>Gas</v>
          </cell>
          <cell r="B108">
            <v>0</v>
          </cell>
          <cell r="C108">
            <v>0</v>
          </cell>
          <cell r="D108">
            <v>0</v>
          </cell>
          <cell r="E108">
            <v>0</v>
          </cell>
          <cell r="F108">
            <v>0</v>
          </cell>
          <cell r="G108">
            <v>0</v>
          </cell>
          <cell r="H108">
            <v>0</v>
          </cell>
          <cell r="I108">
            <v>0</v>
          </cell>
          <cell r="J108">
            <v>0</v>
          </cell>
          <cell r="K108">
            <v>0</v>
          </cell>
          <cell r="L108">
            <v>0</v>
          </cell>
          <cell r="M108">
            <v>0</v>
          </cell>
          <cell r="N108">
            <v>0</v>
          </cell>
          <cell r="P108">
            <v>0</v>
          </cell>
          <cell r="Q108">
            <v>0</v>
          </cell>
          <cell r="R108">
            <v>0</v>
          </cell>
        </row>
        <row r="109">
          <cell r="A109" t="str">
            <v>Water &amp; Sewer</v>
          </cell>
          <cell r="B109">
            <v>0</v>
          </cell>
          <cell r="C109">
            <v>0</v>
          </cell>
          <cell r="D109">
            <v>0</v>
          </cell>
          <cell r="E109">
            <v>0</v>
          </cell>
          <cell r="F109">
            <v>0</v>
          </cell>
          <cell r="G109">
            <v>0</v>
          </cell>
          <cell r="H109">
            <v>0</v>
          </cell>
          <cell r="I109">
            <v>0</v>
          </cell>
          <cell r="J109">
            <v>0</v>
          </cell>
          <cell r="K109">
            <v>0</v>
          </cell>
          <cell r="L109">
            <v>0</v>
          </cell>
          <cell r="M109">
            <v>0</v>
          </cell>
          <cell r="N109">
            <v>0</v>
          </cell>
          <cell r="P109">
            <v>0</v>
          </cell>
          <cell r="Q109">
            <v>0</v>
          </cell>
          <cell r="R109">
            <v>0</v>
          </cell>
        </row>
        <row r="110">
          <cell r="A110" t="str">
            <v>Waste Disposal</v>
          </cell>
          <cell r="B110">
            <v>0</v>
          </cell>
          <cell r="C110">
            <v>115</v>
          </cell>
          <cell r="D110">
            <v>292</v>
          </cell>
          <cell r="E110">
            <v>226</v>
          </cell>
          <cell r="F110">
            <v>232</v>
          </cell>
          <cell r="G110">
            <v>235</v>
          </cell>
          <cell r="H110">
            <v>496</v>
          </cell>
          <cell r="I110">
            <v>226</v>
          </cell>
          <cell r="J110">
            <v>226</v>
          </cell>
          <cell r="K110">
            <v>226</v>
          </cell>
          <cell r="L110">
            <v>226</v>
          </cell>
          <cell r="M110">
            <v>226</v>
          </cell>
          <cell r="N110">
            <v>2726</v>
          </cell>
          <cell r="P110">
            <v>1596</v>
          </cell>
          <cell r="Q110">
            <v>1130</v>
          </cell>
          <cell r="R110">
            <v>2726</v>
          </cell>
        </row>
        <row r="111">
          <cell r="A111" t="str">
            <v>Security</v>
          </cell>
          <cell r="B111">
            <v>0</v>
          </cell>
          <cell r="C111">
            <v>0</v>
          </cell>
          <cell r="D111">
            <v>0</v>
          </cell>
          <cell r="E111">
            <v>0</v>
          </cell>
          <cell r="F111">
            <v>0</v>
          </cell>
          <cell r="G111">
            <v>74</v>
          </cell>
          <cell r="H111">
            <v>0</v>
          </cell>
          <cell r="I111">
            <v>0</v>
          </cell>
          <cell r="J111">
            <v>0</v>
          </cell>
          <cell r="K111">
            <v>0</v>
          </cell>
          <cell r="L111">
            <v>0</v>
          </cell>
          <cell r="M111">
            <v>0</v>
          </cell>
          <cell r="N111">
            <v>74</v>
          </cell>
          <cell r="P111">
            <v>74</v>
          </cell>
          <cell r="Q111">
            <v>0</v>
          </cell>
          <cell r="R111">
            <v>74</v>
          </cell>
        </row>
        <row r="112">
          <cell r="A112" t="str">
            <v>Uniform &amp; Laundry Expenses</v>
          </cell>
          <cell r="B112">
            <v>0</v>
          </cell>
          <cell r="C112">
            <v>0</v>
          </cell>
          <cell r="D112">
            <v>0</v>
          </cell>
          <cell r="E112">
            <v>0</v>
          </cell>
          <cell r="F112">
            <v>0</v>
          </cell>
          <cell r="G112">
            <v>0</v>
          </cell>
          <cell r="H112">
            <v>0</v>
          </cell>
          <cell r="I112">
            <v>0</v>
          </cell>
          <cell r="J112">
            <v>0</v>
          </cell>
          <cell r="K112">
            <v>0</v>
          </cell>
          <cell r="L112">
            <v>0</v>
          </cell>
          <cell r="M112">
            <v>0</v>
          </cell>
          <cell r="N112">
            <v>0</v>
          </cell>
          <cell r="P112">
            <v>0</v>
          </cell>
          <cell r="Q112">
            <v>0</v>
          </cell>
          <cell r="R112">
            <v>0</v>
          </cell>
        </row>
        <row r="113">
          <cell r="A113" t="str">
            <v>Maintenance Supplies</v>
          </cell>
          <cell r="B113">
            <v>0</v>
          </cell>
          <cell r="C113">
            <v>276</v>
          </cell>
          <cell r="D113">
            <v>115</v>
          </cell>
          <cell r="E113">
            <v>684</v>
          </cell>
          <cell r="F113">
            <v>0</v>
          </cell>
          <cell r="G113">
            <v>1066</v>
          </cell>
          <cell r="H113">
            <v>750</v>
          </cell>
          <cell r="I113">
            <v>450</v>
          </cell>
          <cell r="J113">
            <v>450</v>
          </cell>
          <cell r="K113">
            <v>450</v>
          </cell>
          <cell r="L113">
            <v>450</v>
          </cell>
          <cell r="M113">
            <v>450</v>
          </cell>
          <cell r="N113">
            <v>5141</v>
          </cell>
          <cell r="P113">
            <v>2891</v>
          </cell>
          <cell r="Q113">
            <v>2250</v>
          </cell>
          <cell r="R113">
            <v>5141</v>
          </cell>
        </row>
        <row r="114">
          <cell r="A114" t="str">
            <v>Building Repairs &amp; Maintenance</v>
          </cell>
          <cell r="B114">
            <v>0</v>
          </cell>
          <cell r="C114">
            <v>276</v>
          </cell>
          <cell r="D114">
            <v>923</v>
          </cell>
          <cell r="E114">
            <v>1443</v>
          </cell>
          <cell r="F114">
            <v>905</v>
          </cell>
          <cell r="G114">
            <v>-5</v>
          </cell>
          <cell r="H114">
            <v>96</v>
          </cell>
          <cell r="I114">
            <v>391.38249999999999</v>
          </cell>
          <cell r="J114">
            <v>391.38249999999999</v>
          </cell>
          <cell r="K114">
            <v>391.38249999999999</v>
          </cell>
          <cell r="L114">
            <v>391.38249999999999</v>
          </cell>
          <cell r="M114">
            <v>391.38249999999999</v>
          </cell>
          <cell r="N114">
            <v>5594.9125000000004</v>
          </cell>
          <cell r="P114">
            <v>3638</v>
          </cell>
          <cell r="Q114">
            <v>1956.9124999999999</v>
          </cell>
          <cell r="R114">
            <v>5594.9125000000004</v>
          </cell>
        </row>
        <row r="115">
          <cell r="A115" t="str">
            <v>Equipment Repairs &amp; Maintenance</v>
          </cell>
          <cell r="B115">
            <v>0</v>
          </cell>
          <cell r="C115">
            <v>617</v>
          </cell>
          <cell r="D115">
            <v>1040</v>
          </cell>
          <cell r="E115">
            <v>50</v>
          </cell>
          <cell r="F115">
            <v>1854</v>
          </cell>
          <cell r="G115">
            <v>200</v>
          </cell>
          <cell r="H115">
            <v>174</v>
          </cell>
          <cell r="I115">
            <v>682.5</v>
          </cell>
          <cell r="J115">
            <v>682.5</v>
          </cell>
          <cell r="K115">
            <v>682.5</v>
          </cell>
          <cell r="L115">
            <v>682.5</v>
          </cell>
          <cell r="M115">
            <v>682.5</v>
          </cell>
          <cell r="N115">
            <v>7347.5</v>
          </cell>
          <cell r="P115">
            <v>3935</v>
          </cell>
          <cell r="Q115">
            <v>3412.5</v>
          </cell>
          <cell r="R115">
            <v>7347.5</v>
          </cell>
        </row>
        <row r="116">
          <cell r="A116" t="str">
            <v>Computer Repairs &amp; Maintenance</v>
          </cell>
          <cell r="B116">
            <v>0</v>
          </cell>
          <cell r="C116">
            <v>0</v>
          </cell>
          <cell r="D116">
            <v>0</v>
          </cell>
          <cell r="E116">
            <v>0</v>
          </cell>
          <cell r="F116">
            <v>40</v>
          </cell>
          <cell r="G116">
            <v>0</v>
          </cell>
          <cell r="H116">
            <v>799</v>
          </cell>
          <cell r="I116">
            <v>227.5</v>
          </cell>
          <cell r="J116">
            <v>227.5</v>
          </cell>
          <cell r="K116">
            <v>227.5</v>
          </cell>
          <cell r="L116">
            <v>227.5</v>
          </cell>
          <cell r="M116">
            <v>227.5</v>
          </cell>
          <cell r="N116">
            <v>1976.5</v>
          </cell>
          <cell r="P116">
            <v>839</v>
          </cell>
          <cell r="Q116">
            <v>1137.5</v>
          </cell>
          <cell r="R116">
            <v>1976.5</v>
          </cell>
        </row>
        <row r="117">
          <cell r="A117" t="str">
            <v>Miscellaneous Expenses</v>
          </cell>
          <cell r="B117">
            <v>0</v>
          </cell>
          <cell r="C117">
            <v>2077</v>
          </cell>
          <cell r="D117">
            <v>1185</v>
          </cell>
          <cell r="E117">
            <v>-261</v>
          </cell>
          <cell r="F117">
            <v>1327</v>
          </cell>
          <cell r="G117">
            <v>499</v>
          </cell>
          <cell r="H117">
            <v>305</v>
          </cell>
          <cell r="I117">
            <v>182</v>
          </cell>
          <cell r="J117">
            <v>182</v>
          </cell>
          <cell r="K117">
            <v>182</v>
          </cell>
          <cell r="L117">
            <v>182</v>
          </cell>
          <cell r="M117">
            <v>182</v>
          </cell>
          <cell r="N117">
            <v>6042</v>
          </cell>
          <cell r="P117">
            <v>5132</v>
          </cell>
          <cell r="Q117">
            <v>910</v>
          </cell>
          <cell r="R117">
            <v>6042</v>
          </cell>
        </row>
        <row r="118">
          <cell r="B118">
            <v>1513</v>
          </cell>
          <cell r="C118">
            <v>4758</v>
          </cell>
          <cell r="D118">
            <v>7291</v>
          </cell>
          <cell r="E118">
            <v>3968</v>
          </cell>
          <cell r="F118">
            <v>5573</v>
          </cell>
          <cell r="G118">
            <v>2839</v>
          </cell>
          <cell r="H118">
            <v>5286</v>
          </cell>
          <cell r="I118">
            <v>3546.1825000000003</v>
          </cell>
          <cell r="J118">
            <v>3546.1825000000003</v>
          </cell>
          <cell r="K118">
            <v>3546.1825000000003</v>
          </cell>
          <cell r="L118">
            <v>3546.1825000000003</v>
          </cell>
          <cell r="M118">
            <v>3546.1825000000003</v>
          </cell>
          <cell r="N118">
            <v>48958.912500000006</v>
          </cell>
          <cell r="P118">
            <v>31228</v>
          </cell>
          <cell r="Q118">
            <v>17730.912499999999</v>
          </cell>
          <cell r="R118">
            <v>48958.912499999999</v>
          </cell>
        </row>
        <row r="120">
          <cell r="A120" t="str">
            <v>Profit After Operating Expenses</v>
          </cell>
          <cell r="B120">
            <v>165740</v>
          </cell>
          <cell r="C120">
            <v>83279</v>
          </cell>
          <cell r="D120">
            <v>-97319</v>
          </cell>
          <cell r="E120">
            <v>-25686</v>
          </cell>
          <cell r="F120">
            <v>-10355.340000000026</v>
          </cell>
          <cell r="G120">
            <v>-36558.840000000026</v>
          </cell>
          <cell r="H120">
            <v>-63085</v>
          </cell>
          <cell r="I120">
            <v>-3348.0476733332907</v>
          </cell>
          <cell r="J120">
            <v>-8324.5537533333118</v>
          </cell>
          <cell r="K120">
            <v>2908.4584066667303</v>
          </cell>
          <cell r="L120">
            <v>-18126.898633333272</v>
          </cell>
          <cell r="M120">
            <v>2190.7876866667357</v>
          </cell>
          <cell r="N120">
            <v>-8685.43396666646</v>
          </cell>
          <cell r="P120">
            <v>16014.819999999832</v>
          </cell>
          <cell r="Q120">
            <v>-24700.253966666547</v>
          </cell>
          <cell r="R120">
            <v>-8685.4339666668311</v>
          </cell>
        </row>
        <row r="122">
          <cell r="A122" t="str">
            <v>Fixed Expense</v>
          </cell>
        </row>
        <row r="123">
          <cell r="A123" t="str">
            <v>Rent Expense</v>
          </cell>
          <cell r="B123">
            <v>39367.777777777781</v>
          </cell>
          <cell r="C123">
            <v>39367.777777777781</v>
          </cell>
          <cell r="D123">
            <v>39367.777777777781</v>
          </cell>
          <cell r="E123">
            <v>44063</v>
          </cell>
          <cell r="F123">
            <v>39367.777777777781</v>
          </cell>
          <cell r="G123">
            <v>34673</v>
          </cell>
          <cell r="H123">
            <v>39368</v>
          </cell>
          <cell r="I123">
            <v>39367.777777777781</v>
          </cell>
          <cell r="J123">
            <v>39367.777777777781</v>
          </cell>
          <cell r="K123">
            <v>39367.777777777781</v>
          </cell>
          <cell r="L123">
            <v>39367.777777777781</v>
          </cell>
          <cell r="M123">
            <v>39367.777777777781</v>
          </cell>
          <cell r="N123">
            <v>472413.99999999988</v>
          </cell>
          <cell r="P123">
            <v>275575.11111111112</v>
          </cell>
          <cell r="Q123">
            <v>196838.88888888891</v>
          </cell>
          <cell r="R123">
            <v>472414</v>
          </cell>
        </row>
        <row r="124">
          <cell r="A124" t="str">
            <v>CAM, TMI &amp; Merchant Assoc. Dues</v>
          </cell>
          <cell r="B124">
            <v>17499.937499999996</v>
          </cell>
          <cell r="C124">
            <v>17499.937499999996</v>
          </cell>
          <cell r="D124">
            <v>34065</v>
          </cell>
          <cell r="E124">
            <v>26217</v>
          </cell>
          <cell r="F124">
            <v>26217</v>
          </cell>
          <cell r="G124">
            <v>9587</v>
          </cell>
          <cell r="H124">
            <v>0</v>
          </cell>
          <cell r="I124">
            <v>26218</v>
          </cell>
          <cell r="J124">
            <v>26218</v>
          </cell>
          <cell r="K124">
            <v>26218</v>
          </cell>
          <cell r="L124">
            <v>26218</v>
          </cell>
          <cell r="M124">
            <v>26218</v>
          </cell>
          <cell r="N124">
            <v>262175.875</v>
          </cell>
          <cell r="P124">
            <v>131085.875</v>
          </cell>
          <cell r="Q124">
            <v>131090</v>
          </cell>
          <cell r="R124">
            <v>262175.875</v>
          </cell>
        </row>
        <row r="125">
          <cell r="A125" t="str">
            <v>Property &amp; Rent Taxes</v>
          </cell>
          <cell r="B125">
            <v>0</v>
          </cell>
          <cell r="C125">
            <v>0</v>
          </cell>
          <cell r="D125">
            <v>0</v>
          </cell>
          <cell r="E125">
            <v>0</v>
          </cell>
          <cell r="F125">
            <v>0</v>
          </cell>
          <cell r="G125">
            <v>0</v>
          </cell>
          <cell r="H125">
            <v>0</v>
          </cell>
          <cell r="I125">
            <v>0</v>
          </cell>
          <cell r="J125">
            <v>0</v>
          </cell>
          <cell r="K125">
            <v>0</v>
          </cell>
          <cell r="L125">
            <v>0</v>
          </cell>
          <cell r="M125">
            <v>0</v>
          </cell>
          <cell r="N125">
            <v>0</v>
          </cell>
          <cell r="P125">
            <v>0</v>
          </cell>
          <cell r="Q125">
            <v>0</v>
          </cell>
          <cell r="R125">
            <v>0</v>
          </cell>
        </row>
        <row r="126">
          <cell r="A126" t="str">
            <v>Leasing Expense</v>
          </cell>
          <cell r="B126">
            <v>10085</v>
          </cell>
          <cell r="C126">
            <v>10085</v>
          </cell>
          <cell r="D126">
            <v>11446</v>
          </cell>
          <cell r="E126">
            <v>10685</v>
          </cell>
          <cell r="F126">
            <v>10385</v>
          </cell>
          <cell r="G126">
            <v>13409</v>
          </cell>
          <cell r="H126">
            <v>6643</v>
          </cell>
          <cell r="I126">
            <v>10777.64</v>
          </cell>
          <cell r="J126">
            <v>10777.64</v>
          </cell>
          <cell r="K126">
            <v>10777.64</v>
          </cell>
          <cell r="L126">
            <v>10777.64</v>
          </cell>
          <cell r="M126">
            <v>10777.64</v>
          </cell>
          <cell r="N126">
            <v>126626.2</v>
          </cell>
          <cell r="P126">
            <v>72738</v>
          </cell>
          <cell r="Q126">
            <v>53888.2</v>
          </cell>
          <cell r="R126">
            <v>126626.2</v>
          </cell>
        </row>
        <row r="127">
          <cell r="A127" t="str">
            <v>Property &amp; Prof. Liab Insurance</v>
          </cell>
          <cell r="B127">
            <v>1333</v>
          </cell>
          <cell r="C127">
            <v>1333</v>
          </cell>
          <cell r="D127">
            <v>1333</v>
          </cell>
          <cell r="E127">
            <v>-1903</v>
          </cell>
          <cell r="F127">
            <v>524</v>
          </cell>
          <cell r="G127">
            <v>522</v>
          </cell>
          <cell r="H127">
            <v>524</v>
          </cell>
          <cell r="I127">
            <v>1400</v>
          </cell>
          <cell r="J127">
            <v>1400</v>
          </cell>
          <cell r="K127">
            <v>1400</v>
          </cell>
          <cell r="L127">
            <v>1400</v>
          </cell>
          <cell r="M127">
            <v>1400</v>
          </cell>
          <cell r="N127">
            <v>10666</v>
          </cell>
          <cell r="P127">
            <v>3666</v>
          </cell>
          <cell r="Q127">
            <v>7000</v>
          </cell>
          <cell r="R127">
            <v>10666</v>
          </cell>
        </row>
        <row r="128">
          <cell r="A128" t="str">
            <v>Interest Expense / (Income)</v>
          </cell>
          <cell r="B128">
            <v>476.12097754913333</v>
          </cell>
          <cell r="C128">
            <v>476</v>
          </cell>
          <cell r="D128">
            <v>1652</v>
          </cell>
          <cell r="E128">
            <v>476</v>
          </cell>
          <cell r="F128">
            <v>623</v>
          </cell>
          <cell r="G128">
            <v>471</v>
          </cell>
          <cell r="H128">
            <v>470</v>
          </cell>
          <cell r="I128">
            <v>469</v>
          </cell>
          <cell r="J128">
            <v>468</v>
          </cell>
          <cell r="K128">
            <v>466</v>
          </cell>
          <cell r="L128">
            <v>465</v>
          </cell>
          <cell r="M128">
            <v>464</v>
          </cell>
          <cell r="N128">
            <v>6976.1209775491334</v>
          </cell>
          <cell r="P128">
            <v>4644.1209775491334</v>
          </cell>
          <cell r="Q128">
            <v>2332</v>
          </cell>
          <cell r="R128">
            <v>6976.1209775491334</v>
          </cell>
        </row>
        <row r="129">
          <cell r="A129" t="str">
            <v>Depreciation</v>
          </cell>
          <cell r="B129">
            <v>362</v>
          </cell>
          <cell r="C129">
            <v>362</v>
          </cell>
          <cell r="D129">
            <v>2309</v>
          </cell>
          <cell r="E129">
            <v>362</v>
          </cell>
          <cell r="F129">
            <v>4063</v>
          </cell>
          <cell r="G129">
            <v>4702</v>
          </cell>
          <cell r="H129">
            <v>3924</v>
          </cell>
          <cell r="I129">
            <v>8000</v>
          </cell>
          <cell r="J129">
            <v>8000</v>
          </cell>
          <cell r="K129">
            <v>8000</v>
          </cell>
          <cell r="L129">
            <v>8000</v>
          </cell>
          <cell r="M129">
            <v>8000</v>
          </cell>
          <cell r="N129">
            <v>56084</v>
          </cell>
          <cell r="P129">
            <v>16084</v>
          </cell>
          <cell r="Q129">
            <v>40000</v>
          </cell>
          <cell r="R129">
            <v>56084</v>
          </cell>
        </row>
        <row r="130">
          <cell r="A130" t="str">
            <v>Amortization</v>
          </cell>
          <cell r="B130">
            <v>0</v>
          </cell>
          <cell r="C130">
            <v>0</v>
          </cell>
          <cell r="D130">
            <v>0</v>
          </cell>
          <cell r="E130">
            <v>0</v>
          </cell>
          <cell r="F130">
            <v>0</v>
          </cell>
          <cell r="G130">
            <v>0</v>
          </cell>
          <cell r="H130">
            <v>0</v>
          </cell>
          <cell r="I130">
            <v>0</v>
          </cell>
          <cell r="J130">
            <v>0</v>
          </cell>
          <cell r="K130">
            <v>0</v>
          </cell>
          <cell r="L130">
            <v>0</v>
          </cell>
          <cell r="M130">
            <v>0</v>
          </cell>
          <cell r="N130">
            <v>0</v>
          </cell>
          <cell r="P130">
            <v>0</v>
          </cell>
          <cell r="Q130">
            <v>0</v>
          </cell>
          <cell r="R130">
            <v>0</v>
          </cell>
        </row>
        <row r="131">
          <cell r="B131">
            <v>69123.836255326911</v>
          </cell>
          <cell r="C131">
            <v>69123.715277777781</v>
          </cell>
          <cell r="D131">
            <v>90172.777777777781</v>
          </cell>
          <cell r="E131">
            <v>79900</v>
          </cell>
          <cell r="F131">
            <v>81179.777777777781</v>
          </cell>
          <cell r="G131">
            <v>63364</v>
          </cell>
          <cell r="H131">
            <v>50929</v>
          </cell>
          <cell r="I131">
            <v>86232.41777777778</v>
          </cell>
          <cell r="J131">
            <v>86231.41777777778</v>
          </cell>
          <cell r="K131">
            <v>86229.41777777778</v>
          </cell>
          <cell r="L131">
            <v>86228.41777777778</v>
          </cell>
          <cell r="M131">
            <v>86227.41777777778</v>
          </cell>
          <cell r="N131">
            <v>934942.19597754907</v>
          </cell>
          <cell r="P131">
            <v>503793.10708866024</v>
          </cell>
          <cell r="Q131">
            <v>431149.08888888889</v>
          </cell>
          <cell r="R131">
            <v>934942.19597754907</v>
          </cell>
        </row>
        <row r="133">
          <cell r="A133" t="str">
            <v>Profit before Taxes</v>
          </cell>
          <cell r="B133">
            <v>96616.163744673089</v>
          </cell>
          <cell r="C133">
            <v>14155.284722222219</v>
          </cell>
          <cell r="D133">
            <v>-187491.77777777778</v>
          </cell>
          <cell r="E133">
            <v>-105586</v>
          </cell>
          <cell r="F133">
            <v>-91535.117777777807</v>
          </cell>
          <cell r="G133">
            <v>-99922.840000000026</v>
          </cell>
          <cell r="H133">
            <v>-114014</v>
          </cell>
          <cell r="I133">
            <v>-89580.465451111071</v>
          </cell>
          <cell r="J133">
            <v>-94555.971531111092</v>
          </cell>
          <cell r="K133">
            <v>-83320.95937111105</v>
          </cell>
          <cell r="L133">
            <v>-104355.31641111105</v>
          </cell>
          <cell r="M133">
            <v>-84036.630091111045</v>
          </cell>
          <cell r="N133">
            <v>-943627.62994421553</v>
          </cell>
          <cell r="P133">
            <v>-487778.28708866041</v>
          </cell>
          <cell r="Q133">
            <v>-455849.34285555541</v>
          </cell>
          <cell r="R133">
            <v>-943627.62994421588</v>
          </cell>
        </row>
        <row r="135">
          <cell r="A135" t="str">
            <v>Other Income</v>
          </cell>
          <cell r="B135">
            <v>0</v>
          </cell>
          <cell r="C135">
            <v>0</v>
          </cell>
          <cell r="D135">
            <v>0</v>
          </cell>
          <cell r="E135">
            <v>0</v>
          </cell>
          <cell r="F135">
            <v>0</v>
          </cell>
          <cell r="G135">
            <v>-97</v>
          </cell>
          <cell r="H135">
            <v>-811</v>
          </cell>
          <cell r="I135">
            <v>0</v>
          </cell>
          <cell r="J135">
            <v>0</v>
          </cell>
          <cell r="K135">
            <v>0</v>
          </cell>
          <cell r="L135">
            <v>0</v>
          </cell>
          <cell r="M135">
            <v>0</v>
          </cell>
          <cell r="N135">
            <v>-908</v>
          </cell>
          <cell r="P135">
            <v>-908</v>
          </cell>
          <cell r="Q135">
            <v>0</v>
          </cell>
          <cell r="R135">
            <v>-908</v>
          </cell>
        </row>
        <row r="137">
          <cell r="A137" t="str">
            <v>Net Income/(Loss)</v>
          </cell>
          <cell r="B137">
            <v>96616.163744673089</v>
          </cell>
          <cell r="C137">
            <v>14155.284722222219</v>
          </cell>
          <cell r="D137">
            <v>-187491.77777777778</v>
          </cell>
          <cell r="E137">
            <v>-105586</v>
          </cell>
          <cell r="F137">
            <v>-91535.117777777807</v>
          </cell>
          <cell r="G137">
            <v>-99825.840000000026</v>
          </cell>
          <cell r="H137">
            <v>-113203</v>
          </cell>
          <cell r="I137">
            <v>-89580.465451111071</v>
          </cell>
          <cell r="J137">
            <v>-94555.971531111092</v>
          </cell>
          <cell r="K137">
            <v>-83320.95937111105</v>
          </cell>
          <cell r="L137">
            <v>-104355.31641111105</v>
          </cell>
          <cell r="M137">
            <v>-84036.630091111045</v>
          </cell>
          <cell r="N137">
            <v>-942719.62994421553</v>
          </cell>
          <cell r="P137">
            <v>-486870.28708866041</v>
          </cell>
          <cell r="Q137">
            <v>-455849.34285555541</v>
          </cell>
          <cell r="R137">
            <v>-942719.62994421588</v>
          </cell>
        </row>
        <row r="139">
          <cell r="A139" t="str">
            <v>Add back ASI Management Fee</v>
          </cell>
          <cell r="B139">
            <v>58283</v>
          </cell>
          <cell r="C139">
            <v>63568</v>
          </cell>
          <cell r="D139">
            <v>83551</v>
          </cell>
          <cell r="E139">
            <v>73313</v>
          </cell>
          <cell r="F139">
            <v>71865</v>
          </cell>
          <cell r="G139">
            <v>74859</v>
          </cell>
          <cell r="H139">
            <v>73875</v>
          </cell>
          <cell r="I139">
            <v>74690.07084</v>
          </cell>
          <cell r="J139">
            <v>75339.799920000005</v>
          </cell>
          <cell r="K139">
            <v>75140.34176000001</v>
          </cell>
          <cell r="L139">
            <v>74906.642800000001</v>
          </cell>
          <cell r="M139">
            <v>79973.494480000008</v>
          </cell>
          <cell r="N139">
            <v>879364.34979999997</v>
          </cell>
          <cell r="P139">
            <v>499314</v>
          </cell>
          <cell r="Q139">
            <v>380050.34980000003</v>
          </cell>
          <cell r="R139">
            <v>879364.34979999997</v>
          </cell>
        </row>
        <row r="141">
          <cell r="A141" t="str">
            <v>Net Income Before ASI Fee</v>
          </cell>
          <cell r="B141">
            <v>154899.16374467307</v>
          </cell>
          <cell r="C141">
            <v>77723.284722222219</v>
          </cell>
          <cell r="D141">
            <v>-103940.77777777778</v>
          </cell>
          <cell r="E141">
            <v>-32273</v>
          </cell>
          <cell r="F141">
            <v>-19670.117777777807</v>
          </cell>
          <cell r="G141">
            <v>-24966.840000000026</v>
          </cell>
          <cell r="H141">
            <v>-39328</v>
          </cell>
          <cell r="I141">
            <v>-14890.394611111071</v>
          </cell>
          <cell r="J141">
            <v>-19216.171611111087</v>
          </cell>
          <cell r="K141">
            <v>-8180.6176111110399</v>
          </cell>
          <cell r="L141">
            <v>-29448.673611111051</v>
          </cell>
          <cell r="M141">
            <v>-4063.1356111110363</v>
          </cell>
          <cell r="N141">
            <v>-63355.280144215591</v>
          </cell>
          <cell r="P141">
            <v>12443.712911339593</v>
          </cell>
          <cell r="Q141">
            <v>-75798.993055555387</v>
          </cell>
          <cell r="R141">
            <v>-63355.280144215911</v>
          </cell>
        </row>
      </sheetData>
      <sheetData sheetId="10"/>
      <sheetData sheetId="11"/>
      <sheetData sheetId="12"/>
      <sheetData sheetId="13"/>
      <sheetData sheetId="14"/>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XEM321"/>
  <sheetViews>
    <sheetView tabSelected="1" topLeftCell="B1" zoomScaleNormal="100" workbookViewId="0">
      <selection activeCell="B1" sqref="B1"/>
    </sheetView>
  </sheetViews>
  <sheetFormatPr defaultColWidth="9.109375" defaultRowHeight="13.2"/>
  <cols>
    <col min="1" max="1" width="6.109375" style="17" hidden="1" customWidth="1"/>
    <col min="2" max="2" width="4" style="3" customWidth="1"/>
    <col min="3" max="4" width="5" style="3" customWidth="1"/>
    <col min="5" max="5" width="4" style="3" customWidth="1"/>
    <col min="6" max="6" width="0.88671875" style="3" customWidth="1"/>
    <col min="7" max="7" width="37.44140625" style="1" customWidth="1"/>
    <col min="8" max="8" width="12.6640625" style="22" customWidth="1"/>
    <col min="9" max="12" width="9.109375" style="1" hidden="1" customWidth="1"/>
    <col min="13" max="13" width="11.5546875" style="1" hidden="1" customWidth="1"/>
    <col min="14" max="14" width="7.33203125" style="1" hidden="1" customWidth="1"/>
    <col min="15" max="16" width="10.6640625" style="1" hidden="1" customWidth="1"/>
    <col min="17" max="17" width="10.6640625" style="1" customWidth="1"/>
    <col min="18" max="29" width="9.109375" style="1" customWidth="1"/>
    <col min="30" max="16384" width="9.109375" style="1"/>
  </cols>
  <sheetData>
    <row r="1" spans="1:17 16367:16367">
      <c r="B1" s="43" t="s">
        <v>146</v>
      </c>
      <c r="C1" s="43"/>
      <c r="D1" s="43"/>
      <c r="E1" s="43"/>
      <c r="F1" s="43"/>
      <c r="G1" s="43"/>
      <c r="H1" s="43"/>
      <c r="I1" s="1" t="s">
        <v>64</v>
      </c>
    </row>
    <row r="2" spans="1:17 16367:16367" s="2" customFormat="1">
      <c r="A2" s="17"/>
      <c r="B2" s="43" t="s">
        <v>138</v>
      </c>
      <c r="C2" s="43"/>
      <c r="D2" s="43"/>
      <c r="E2" s="43"/>
      <c r="F2" s="43"/>
      <c r="G2" s="43"/>
      <c r="H2" s="43"/>
      <c r="I2" s="1" t="s">
        <v>64</v>
      </c>
      <c r="J2" s="1"/>
      <c r="K2" s="1"/>
      <c r="L2" s="1"/>
      <c r="M2" s="1"/>
      <c r="N2" s="1"/>
      <c r="O2" s="1"/>
      <c r="P2" s="1"/>
    </row>
    <row r="3" spans="1:17 16367:16367" s="2" customFormat="1">
      <c r="A3" s="17"/>
      <c r="B3" s="43" t="s">
        <v>45</v>
      </c>
      <c r="C3" s="43"/>
      <c r="D3" s="43"/>
      <c r="E3" s="43"/>
      <c r="F3" s="43"/>
      <c r="G3" s="43"/>
      <c r="H3" s="43"/>
      <c r="I3" s="1" t="s">
        <v>64</v>
      </c>
      <c r="J3" s="1"/>
      <c r="K3" s="1"/>
      <c r="L3" s="1"/>
      <c r="M3" s="1"/>
      <c r="N3" s="1"/>
      <c r="O3" s="1"/>
      <c r="P3" s="1"/>
    </row>
    <row r="4" spans="1:17 16367:16367" s="2" customFormat="1">
      <c r="A4" s="17"/>
      <c r="B4" s="44" t="s">
        <v>187</v>
      </c>
      <c r="C4" s="44"/>
      <c r="D4" s="44"/>
      <c r="E4" s="44"/>
      <c r="F4" s="44"/>
      <c r="G4" s="44"/>
      <c r="H4" s="44"/>
      <c r="I4" s="1" t="s">
        <v>64</v>
      </c>
      <c r="J4" s="1"/>
      <c r="K4" s="1"/>
      <c r="L4" s="1"/>
      <c r="M4" s="1"/>
      <c r="N4" s="1"/>
      <c r="O4" s="1"/>
      <c r="P4" s="1"/>
    </row>
    <row r="5" spans="1:17 16367:16367" s="2" customFormat="1">
      <c r="A5" s="17"/>
      <c r="B5" s="44"/>
      <c r="C5" s="44"/>
      <c r="D5" s="44"/>
      <c r="E5" s="44"/>
      <c r="F5" s="44"/>
      <c r="G5" s="44"/>
      <c r="H5" s="44"/>
      <c r="I5" s="1" t="s">
        <v>64</v>
      </c>
      <c r="J5" s="1"/>
      <c r="K5" s="1"/>
      <c r="L5" s="1"/>
      <c r="M5" s="1"/>
      <c r="N5" s="1"/>
      <c r="O5" s="1"/>
      <c r="P5" s="1"/>
    </row>
    <row r="6" spans="1:17 16367:16367" s="4" customFormat="1" hidden="1">
      <c r="A6" s="18"/>
      <c r="B6" s="6"/>
      <c r="C6" s="6"/>
      <c r="D6" s="6"/>
      <c r="E6" s="6"/>
      <c r="F6" s="6"/>
      <c r="G6" s="15"/>
      <c r="H6" s="15"/>
      <c r="I6" s="4" t="s">
        <v>56</v>
      </c>
    </row>
    <row r="7" spans="1:17 16367:16367" s="2" customFormat="1" hidden="1">
      <c r="A7" s="17"/>
      <c r="B7" s="44"/>
      <c r="C7" s="44"/>
      <c r="D7" s="44"/>
      <c r="E7" s="44"/>
      <c r="F7" s="44"/>
      <c r="G7" s="44"/>
      <c r="H7" s="44"/>
      <c r="I7" s="1"/>
      <c r="J7" s="1"/>
      <c r="K7" s="1"/>
      <c r="L7" s="1"/>
      <c r="M7" s="1"/>
      <c r="N7" s="1"/>
      <c r="O7" s="1"/>
      <c r="P7" s="1"/>
    </row>
    <row r="8" spans="1:17 16367:16367" s="4" customFormat="1" ht="12.75" hidden="1" customHeight="1">
      <c r="A8" s="6"/>
      <c r="B8" s="6"/>
      <c r="C8" s="6"/>
      <c r="D8" s="6"/>
      <c r="E8" s="6"/>
      <c r="G8" s="69"/>
      <c r="H8" s="70"/>
      <c r="I8" s="4" t="s">
        <v>56</v>
      </c>
      <c r="N8" s="55"/>
      <c r="O8" s="55"/>
      <c r="P8" s="55"/>
      <c r="XEM8" s="6"/>
    </row>
    <row r="9" spans="1:17 16367:16367" s="4" customFormat="1" ht="12.75" customHeight="1">
      <c r="A9" s="18"/>
      <c r="B9" s="6" t="s">
        <v>124</v>
      </c>
      <c r="C9" s="6"/>
      <c r="D9" s="6"/>
      <c r="E9" s="6"/>
      <c r="F9" s="6"/>
      <c r="H9" s="71">
        <f>+EnrNew</f>
        <v>46.55</v>
      </c>
      <c r="I9" s="4" t="s">
        <v>64</v>
      </c>
    </row>
    <row r="10" spans="1:17 16367:16367" s="4" customFormat="1" ht="12.75" customHeight="1">
      <c r="A10" s="18"/>
      <c r="B10" s="5"/>
      <c r="C10" s="5"/>
      <c r="D10" s="5"/>
      <c r="E10" s="5"/>
      <c r="F10" s="5"/>
      <c r="H10" s="20"/>
      <c r="I10" s="1" t="s">
        <v>64</v>
      </c>
      <c r="J10" s="1"/>
      <c r="K10" s="1"/>
      <c r="L10" s="1"/>
      <c r="M10" s="1"/>
      <c r="N10" s="1"/>
      <c r="O10" s="1"/>
      <c r="P10" s="1"/>
    </row>
    <row r="11" spans="1:17 16367:16367" s="4" customFormat="1" ht="12.75" hidden="1" customHeight="1">
      <c r="A11" s="18"/>
      <c r="B11" s="5"/>
      <c r="C11" s="5"/>
      <c r="D11" s="5"/>
      <c r="E11" s="5"/>
      <c r="F11" s="5"/>
      <c r="H11" s="24"/>
      <c r="I11" s="1"/>
      <c r="J11" s="1"/>
      <c r="K11" s="1"/>
      <c r="L11" s="1"/>
      <c r="M11" s="1"/>
      <c r="N11" s="1"/>
      <c r="O11" s="1"/>
      <c r="P11" s="1"/>
      <c r="Q11" s="55"/>
    </row>
    <row r="12" spans="1:17 16367:16367" s="4" customFormat="1" ht="12.75" hidden="1" customHeight="1">
      <c r="A12" s="18"/>
      <c r="B12" s="5"/>
      <c r="C12" s="5"/>
      <c r="D12" s="5"/>
      <c r="E12" s="5"/>
      <c r="F12" s="5"/>
      <c r="H12" s="24"/>
      <c r="I12" s="1" t="s">
        <v>56</v>
      </c>
      <c r="J12" s="1"/>
      <c r="K12" s="1"/>
      <c r="L12" s="1"/>
      <c r="M12" s="1"/>
      <c r="N12" s="1"/>
      <c r="O12" s="1"/>
      <c r="P12" s="1"/>
      <c r="Q12" s="59"/>
    </row>
    <row r="13" spans="1:17 16367:16367" ht="12" hidden="1" customHeight="1">
      <c r="G13" s="9"/>
      <c r="H13" s="24"/>
      <c r="I13" s="1" t="s">
        <v>56</v>
      </c>
      <c r="Q13" s="59"/>
    </row>
    <row r="14" spans="1:17 16367:16367">
      <c r="G14" s="7" t="s">
        <v>29</v>
      </c>
      <c r="H14" s="24"/>
      <c r="I14" s="1" t="s">
        <v>64</v>
      </c>
      <c r="M14" s="1">
        <v>100</v>
      </c>
      <c r="N14" s="1">
        <v>360</v>
      </c>
      <c r="O14" s="1">
        <v>493</v>
      </c>
      <c r="P14" s="1">
        <v>435</v>
      </c>
      <c r="Q14" s="59"/>
    </row>
    <row r="15" spans="1:17 16367:16367">
      <c r="B15" s="25"/>
      <c r="C15" s="25"/>
      <c r="D15" s="47"/>
      <c r="E15" s="48"/>
      <c r="F15" s="25"/>
      <c r="G15" s="25"/>
      <c r="H15" s="24"/>
      <c r="I15" s="1" t="s">
        <v>64</v>
      </c>
      <c r="Q15" s="4"/>
    </row>
    <row r="16" spans="1:17 16367:16367">
      <c r="B16" s="112">
        <f>+'Rev Input'!B10</f>
        <v>100</v>
      </c>
      <c r="C16" s="112">
        <f>+'Rev Input'!C10</f>
        <v>3300</v>
      </c>
      <c r="D16" s="47">
        <f>+'Rev Input'!D10</f>
        <v>0</v>
      </c>
      <c r="E16" s="48">
        <f>+'Rev Input'!E10</f>
        <v>0</v>
      </c>
      <c r="F16" s="25"/>
      <c r="G16" s="25" t="str">
        <f>+'Rev Input'!F10</f>
        <v>FEFP - Bay Cty Sch Dist</v>
      </c>
      <c r="H16" s="24">
        <f>+'Rev Input'!J10</f>
        <v>730692</v>
      </c>
      <c r="I16" s="1" t="str">
        <f t="shared" ref="I16" si="0">IF(SUM(H16)&gt;0.49,"*","")</f>
        <v>*</v>
      </c>
      <c r="M16" s="85">
        <f>IF($B16=M$14,$H16,0)</f>
        <v>730692</v>
      </c>
      <c r="N16" s="85">
        <f>IF($B16=N$14,$H16,0)</f>
        <v>0</v>
      </c>
      <c r="O16" s="85">
        <f>IF($B16=O$14,$H16,0)</f>
        <v>0</v>
      </c>
      <c r="P16" s="85">
        <f>IF($B16=P$14,$H16,0)</f>
        <v>0</v>
      </c>
      <c r="Q16" s="4"/>
    </row>
    <row r="17" spans="2:17">
      <c r="B17" s="112">
        <f>+'Rev Input'!B11</f>
        <v>435</v>
      </c>
      <c r="C17" s="112">
        <f>+'Rev Input'!C11</f>
        <v>3200</v>
      </c>
      <c r="D17" s="47">
        <f>+'Rev Input'!D11</f>
        <v>0</v>
      </c>
      <c r="E17" s="48">
        <f>+'Rev Input'!E11</f>
        <v>0</v>
      </c>
      <c r="F17" s="25"/>
      <c r="G17" s="25" t="str">
        <f>+'Rev Input'!F11</f>
        <v>PPP</v>
      </c>
      <c r="H17" s="24">
        <f>+'Rev Input'!J11</f>
        <v>117582</v>
      </c>
      <c r="I17" s="1" t="str">
        <f t="shared" ref="I17:I33" si="1">IF(SUM(H17)&gt;0.49,"*","")</f>
        <v>*</v>
      </c>
      <c r="M17" s="85">
        <f t="shared" ref="M17:P81" si="2">IF($B17=M$14,$H17,0)</f>
        <v>0</v>
      </c>
      <c r="N17" s="85">
        <f t="shared" si="2"/>
        <v>0</v>
      </c>
      <c r="O17" s="85">
        <f t="shared" si="2"/>
        <v>0</v>
      </c>
      <c r="P17" s="85">
        <f t="shared" si="2"/>
        <v>117582</v>
      </c>
      <c r="Q17" s="4"/>
    </row>
    <row r="18" spans="2:17">
      <c r="B18" s="112">
        <f>+'Rev Input'!B12</f>
        <v>435</v>
      </c>
      <c r="C18" s="112">
        <f>+'Rev Input'!C12</f>
        <v>3200</v>
      </c>
      <c r="D18" s="47">
        <f>+'Rev Input'!D12</f>
        <v>1</v>
      </c>
      <c r="E18" s="48">
        <f>+'Rev Input'!E12</f>
        <v>0</v>
      </c>
      <c r="F18" s="25"/>
      <c r="G18" s="25" t="str">
        <f>+'Rev Input'!F12</f>
        <v>ESSER</v>
      </c>
      <c r="H18" s="24">
        <f>+'Rev Input'!J12</f>
        <v>12009.9</v>
      </c>
      <c r="I18" s="1" t="str">
        <f t="shared" si="1"/>
        <v>*</v>
      </c>
      <c r="M18" s="85">
        <f t="shared" si="2"/>
        <v>0</v>
      </c>
      <c r="N18" s="85">
        <f t="shared" si="2"/>
        <v>0</v>
      </c>
      <c r="O18" s="85">
        <f t="shared" si="2"/>
        <v>0</v>
      </c>
      <c r="P18" s="85">
        <f t="shared" si="2"/>
        <v>12009.9</v>
      </c>
      <c r="Q18" s="4"/>
    </row>
    <row r="19" spans="2:17">
      <c r="B19" s="112">
        <f>+'Rev Input'!B13</f>
        <v>493</v>
      </c>
      <c r="C19" s="112">
        <f>+'Rev Input'!C13</f>
        <v>3290</v>
      </c>
      <c r="D19" s="47">
        <f>+'Rev Input'!D13</f>
        <v>0</v>
      </c>
      <c r="E19" s="48">
        <f>+'Rev Input'!E13</f>
        <v>0</v>
      </c>
      <c r="F19" s="25"/>
      <c r="G19" s="25" t="str">
        <f>+'Rev Input'!F13</f>
        <v>Restart Grant</v>
      </c>
      <c r="H19" s="24">
        <f>+'Rev Input'!J13</f>
        <v>212289.32</v>
      </c>
      <c r="I19" s="1" t="str">
        <f t="shared" si="1"/>
        <v>*</v>
      </c>
      <c r="M19" s="85">
        <f t="shared" si="2"/>
        <v>0</v>
      </c>
      <c r="N19" s="85">
        <f t="shared" si="2"/>
        <v>0</v>
      </c>
      <c r="O19" s="85">
        <f t="shared" si="2"/>
        <v>212289.32</v>
      </c>
      <c r="P19" s="85">
        <f t="shared" si="2"/>
        <v>0</v>
      </c>
      <c r="Q19" s="4"/>
    </row>
    <row r="20" spans="2:17" hidden="1">
      <c r="B20" s="112">
        <f>+'Rev Input'!B14</f>
        <v>496</v>
      </c>
      <c r="C20" s="112">
        <f>+'Rev Input'!C14</f>
        <v>3200</v>
      </c>
      <c r="D20" s="47">
        <f>+'Rev Input'!D14</f>
        <v>0</v>
      </c>
      <c r="E20" s="48">
        <f>+'Rev Input'!E14</f>
        <v>0</v>
      </c>
      <c r="F20" s="25"/>
      <c r="G20" s="25" t="str">
        <f>+'Rev Input'!F14</f>
        <v>FEMA Proceeds</v>
      </c>
      <c r="H20" s="24">
        <f>+'Rev Input'!J14</f>
        <v>0</v>
      </c>
      <c r="I20" s="1" t="str">
        <f t="shared" si="1"/>
        <v/>
      </c>
      <c r="M20" s="85">
        <f t="shared" si="2"/>
        <v>0</v>
      </c>
      <c r="N20" s="85">
        <f t="shared" si="2"/>
        <v>0</v>
      </c>
      <c r="O20" s="85">
        <f t="shared" si="2"/>
        <v>0</v>
      </c>
      <c r="P20" s="85">
        <f t="shared" si="2"/>
        <v>0</v>
      </c>
      <c r="Q20" s="4"/>
    </row>
    <row r="21" spans="2:17">
      <c r="B21" s="112">
        <f>+'Rev Input'!B15</f>
        <v>100</v>
      </c>
      <c r="C21" s="112">
        <f>+'Rev Input'!C15</f>
        <v>3230</v>
      </c>
      <c r="D21" s="47">
        <f>+'Rev Input'!D15</f>
        <v>0</v>
      </c>
      <c r="E21" s="48">
        <f>+'Rev Input'!E15</f>
        <v>0</v>
      </c>
      <c r="F21" s="25"/>
      <c r="G21" s="25" t="str">
        <f>+'Rev Input'!F15</f>
        <v>IDEA</v>
      </c>
      <c r="H21" s="24">
        <f>+'Rev Input'!J15</f>
        <v>64841</v>
      </c>
      <c r="I21" s="1" t="str">
        <f t="shared" si="1"/>
        <v>*</v>
      </c>
      <c r="M21" s="85">
        <f t="shared" si="2"/>
        <v>64841</v>
      </c>
      <c r="N21" s="85">
        <f t="shared" si="2"/>
        <v>0</v>
      </c>
      <c r="O21" s="85">
        <f t="shared" si="2"/>
        <v>0</v>
      </c>
      <c r="P21" s="85">
        <f t="shared" si="2"/>
        <v>0</v>
      </c>
      <c r="Q21" s="4"/>
    </row>
    <row r="22" spans="2:17" hidden="1">
      <c r="B22" s="112">
        <f>+'Rev Input'!B16</f>
        <v>100</v>
      </c>
      <c r="C22" s="112">
        <f>+'Rev Input'!C16</f>
        <v>3318</v>
      </c>
      <c r="D22" s="47">
        <f>+'Rev Input'!D16</f>
        <v>0</v>
      </c>
      <c r="E22" s="48">
        <f>+'Rev Input'!E16</f>
        <v>0</v>
      </c>
      <c r="F22" s="25"/>
      <c r="G22" s="25" t="str">
        <f>+'Rev Input'!F16</f>
        <v>Adults With Disabilities</v>
      </c>
      <c r="H22" s="24">
        <f>+'Rev Input'!J16</f>
        <v>0</v>
      </c>
      <c r="I22" s="1" t="str">
        <f t="shared" si="1"/>
        <v/>
      </c>
      <c r="M22" s="85">
        <f t="shared" si="2"/>
        <v>0</v>
      </c>
      <c r="N22" s="85">
        <f t="shared" si="2"/>
        <v>0</v>
      </c>
      <c r="O22" s="85">
        <f t="shared" si="2"/>
        <v>0</v>
      </c>
      <c r="P22" s="85">
        <f t="shared" si="2"/>
        <v>0</v>
      </c>
    </row>
    <row r="23" spans="2:17">
      <c r="B23" s="112">
        <f>+'Rev Input'!B17</f>
        <v>100</v>
      </c>
      <c r="C23" s="112">
        <f>+'Rev Input'!C17</f>
        <v>3334</v>
      </c>
      <c r="D23" s="47">
        <f>+'Rev Input'!D17</f>
        <v>0</v>
      </c>
      <c r="E23" s="48">
        <f>+'Rev Input'!E17</f>
        <v>0</v>
      </c>
      <c r="F23" s="25"/>
      <c r="G23" s="25" t="str">
        <f>+'Rev Input'!F17</f>
        <v>Florida Teacher's Lead Program</v>
      </c>
      <c r="H23" s="24">
        <f>+'Rev Input'!J17</f>
        <v>921</v>
      </c>
      <c r="I23" s="1" t="str">
        <f t="shared" si="1"/>
        <v>*</v>
      </c>
      <c r="M23" s="85">
        <f t="shared" si="2"/>
        <v>921</v>
      </c>
      <c r="N23" s="85">
        <f t="shared" si="2"/>
        <v>0</v>
      </c>
      <c r="O23" s="85">
        <f t="shared" si="2"/>
        <v>0</v>
      </c>
      <c r="P23" s="85">
        <f t="shared" si="2"/>
        <v>0</v>
      </c>
    </row>
    <row r="24" spans="2:17" hidden="1">
      <c r="B24" s="112">
        <f>+'Rev Input'!B18</f>
        <v>100</v>
      </c>
      <c r="C24" s="112">
        <f>+'Rev Input'!C18</f>
        <v>3374</v>
      </c>
      <c r="D24" s="47">
        <f>+'Rev Input'!D18</f>
        <v>0</v>
      </c>
      <c r="E24" s="48">
        <f>+'Rev Input'!E18</f>
        <v>0</v>
      </c>
      <c r="F24" s="25"/>
      <c r="G24" s="25" t="str">
        <f>+'Rev Input'!F18</f>
        <v>Best and Brightest</v>
      </c>
      <c r="H24" s="24">
        <f>+'Rev Input'!J18</f>
        <v>0</v>
      </c>
      <c r="I24" s="1" t="str">
        <f t="shared" si="1"/>
        <v/>
      </c>
      <c r="M24" s="85">
        <f t="shared" si="2"/>
        <v>0</v>
      </c>
      <c r="N24" s="85">
        <f t="shared" si="2"/>
        <v>0</v>
      </c>
      <c r="O24" s="85">
        <f t="shared" si="2"/>
        <v>0</v>
      </c>
      <c r="P24" s="85">
        <f t="shared" si="2"/>
        <v>0</v>
      </c>
    </row>
    <row r="25" spans="2:17">
      <c r="B25" s="112">
        <f>+'Rev Input'!B19</f>
        <v>100</v>
      </c>
      <c r="C25" s="112">
        <f>+'Rev Input'!C19</f>
        <v>3390</v>
      </c>
      <c r="D25" s="47">
        <f>+'Rev Input'!D19</f>
        <v>0</v>
      </c>
      <c r="E25" s="48">
        <f>+'Rev Input'!E19</f>
        <v>0</v>
      </c>
      <c r="F25" s="25"/>
      <c r="G25" s="25" t="str">
        <f>+'Rev Input'!F19</f>
        <v>VR Grant</v>
      </c>
      <c r="H25" s="24">
        <f>+'Rev Input'!J19</f>
        <v>16145.58</v>
      </c>
      <c r="I25" s="1" t="str">
        <f t="shared" si="1"/>
        <v>*</v>
      </c>
      <c r="M25" s="85">
        <f t="shared" si="2"/>
        <v>16145.58</v>
      </c>
      <c r="N25" s="85">
        <f t="shared" si="2"/>
        <v>0</v>
      </c>
      <c r="O25" s="85">
        <f t="shared" si="2"/>
        <v>0</v>
      </c>
      <c r="P25" s="85">
        <f t="shared" si="2"/>
        <v>0</v>
      </c>
    </row>
    <row r="26" spans="2:17" hidden="1">
      <c r="B26" s="112">
        <f>+'Rev Input'!B20</f>
        <v>100</v>
      </c>
      <c r="C26" s="112">
        <f>+'Rev Input'!C20</f>
        <v>3390</v>
      </c>
      <c r="D26" s="47">
        <f>+'Rev Input'!D20</f>
        <v>0</v>
      </c>
      <c r="E26" s="48">
        <f>+'Rev Input'!E20</f>
        <v>0</v>
      </c>
      <c r="F26" s="25"/>
      <c r="G26" s="25" t="str">
        <f>+'Rev Input'!F20</f>
        <v>Pre-Employment Training Services</v>
      </c>
      <c r="H26" s="24">
        <f>+'Rev Input'!J20</f>
        <v>0</v>
      </c>
      <c r="I26" s="1" t="str">
        <f t="shared" si="1"/>
        <v/>
      </c>
      <c r="M26" s="85">
        <f t="shared" si="2"/>
        <v>0</v>
      </c>
      <c r="N26" s="85">
        <f t="shared" si="2"/>
        <v>0</v>
      </c>
      <c r="O26" s="85">
        <f t="shared" si="2"/>
        <v>0</v>
      </c>
      <c r="P26" s="85">
        <f t="shared" si="2"/>
        <v>0</v>
      </c>
    </row>
    <row r="27" spans="2:17" hidden="1">
      <c r="B27" s="112">
        <f>+'Rev Input'!B21</f>
        <v>100</v>
      </c>
      <c r="C27" s="112">
        <f>+'Rev Input'!C21</f>
        <v>3395</v>
      </c>
      <c r="D27" s="47">
        <f>+'Rev Input'!D21</f>
        <v>0</v>
      </c>
      <c r="E27" s="48">
        <f>+'Rev Input'!E21</f>
        <v>0</v>
      </c>
      <c r="F27" s="25"/>
      <c r="G27" s="25" t="str">
        <f>+'Rev Input'!F21</f>
        <v>Other Misc State Revenue</v>
      </c>
      <c r="H27" s="24">
        <f>+'Rev Input'!J21</f>
        <v>0</v>
      </c>
      <c r="I27" s="1" t="str">
        <f t="shared" si="1"/>
        <v/>
      </c>
      <c r="M27" s="85">
        <f t="shared" si="2"/>
        <v>0</v>
      </c>
      <c r="N27" s="85">
        <f t="shared" si="2"/>
        <v>0</v>
      </c>
      <c r="O27" s="85">
        <f t="shared" si="2"/>
        <v>0</v>
      </c>
      <c r="P27" s="85">
        <f t="shared" si="2"/>
        <v>0</v>
      </c>
    </row>
    <row r="28" spans="2:17">
      <c r="B28" s="112">
        <f>+'Rev Input'!B22</f>
        <v>100</v>
      </c>
      <c r="C28" s="112">
        <f>+'Rev Input'!C22</f>
        <v>3400</v>
      </c>
      <c r="D28" s="47">
        <f>+'Rev Input'!D22</f>
        <v>0</v>
      </c>
      <c r="E28" s="48">
        <f>+'Rev Input'!E22</f>
        <v>0</v>
      </c>
      <c r="F28" s="25"/>
      <c r="G28" s="25" t="str">
        <f>+'Rev Input'!F22</f>
        <v>Interest Income</v>
      </c>
      <c r="H28" s="24">
        <f>+'Rev Input'!J22</f>
        <v>30.240000000000002</v>
      </c>
      <c r="I28" s="1" t="str">
        <f t="shared" si="1"/>
        <v>*</v>
      </c>
      <c r="M28" s="85">
        <f t="shared" si="2"/>
        <v>30.240000000000002</v>
      </c>
      <c r="N28" s="85">
        <f t="shared" si="2"/>
        <v>0</v>
      </c>
      <c r="O28" s="85">
        <f t="shared" si="2"/>
        <v>0</v>
      </c>
      <c r="P28" s="85">
        <f t="shared" si="2"/>
        <v>0</v>
      </c>
    </row>
    <row r="29" spans="2:17">
      <c r="B29" s="112">
        <f>+'Rev Input'!B23</f>
        <v>100</v>
      </c>
      <c r="C29" s="112">
        <f>+'Rev Input'!C23</f>
        <v>3473</v>
      </c>
      <c r="D29" s="47">
        <f>+'Rev Input'!D23</f>
        <v>0</v>
      </c>
      <c r="E29" s="48">
        <f>+'Rev Input'!E23</f>
        <v>0</v>
      </c>
      <c r="F29" s="25"/>
      <c r="G29" s="25" t="str">
        <f>+'Rev Input'!F23</f>
        <v>Other Misc Revenue</v>
      </c>
      <c r="H29" s="24">
        <f>+'Rev Input'!J23</f>
        <v>14080.73</v>
      </c>
      <c r="I29" s="1" t="str">
        <f t="shared" si="1"/>
        <v>*</v>
      </c>
      <c r="M29" s="85">
        <f t="shared" si="2"/>
        <v>14080.73</v>
      </c>
      <c r="N29" s="85">
        <f t="shared" si="2"/>
        <v>0</v>
      </c>
      <c r="O29" s="85">
        <f t="shared" si="2"/>
        <v>0</v>
      </c>
      <c r="P29" s="85">
        <f t="shared" si="2"/>
        <v>0</v>
      </c>
    </row>
    <row r="30" spans="2:17" hidden="1">
      <c r="B30" s="112">
        <f>+'Rev Input'!B24</f>
        <v>100</v>
      </c>
      <c r="C30" s="112">
        <f>+'Rev Input'!C24</f>
        <v>3476</v>
      </c>
      <c r="D30" s="47">
        <f>+'Rev Input'!D24</f>
        <v>0</v>
      </c>
      <c r="E30" s="48">
        <f>+'Rev Input'!E24</f>
        <v>0</v>
      </c>
      <c r="F30" s="25"/>
      <c r="G30" s="25" t="str">
        <f>+'Rev Input'!F24</f>
        <v>Field Trips</v>
      </c>
      <c r="H30" s="24">
        <f>+'Rev Input'!J24</f>
        <v>0</v>
      </c>
      <c r="I30" s="1" t="str">
        <f t="shared" si="1"/>
        <v/>
      </c>
      <c r="M30" s="85">
        <f t="shared" si="2"/>
        <v>0</v>
      </c>
      <c r="N30" s="85">
        <f t="shared" si="2"/>
        <v>0</v>
      </c>
      <c r="O30" s="85">
        <f t="shared" si="2"/>
        <v>0</v>
      </c>
      <c r="P30" s="85">
        <f t="shared" si="2"/>
        <v>0</v>
      </c>
    </row>
    <row r="31" spans="2:17" hidden="1">
      <c r="B31" s="112">
        <f>+'Rev Input'!B25</f>
        <v>100</v>
      </c>
      <c r="C31" s="112">
        <f>+'Rev Input'!C25</f>
        <v>3497</v>
      </c>
      <c r="D31" s="47">
        <f>+'Rev Input'!D25</f>
        <v>0</v>
      </c>
      <c r="E31" s="48">
        <f>+'Rev Input'!E25</f>
        <v>0</v>
      </c>
      <c r="F31" s="25"/>
      <c r="G31" s="25" t="str">
        <f>+'Rev Input'!F25</f>
        <v>Recovery of Prior Year Expense</v>
      </c>
      <c r="H31" s="24">
        <f>+'Rev Input'!J25</f>
        <v>0</v>
      </c>
      <c r="I31" s="1" t="str">
        <f t="shared" si="1"/>
        <v/>
      </c>
      <c r="M31" s="85">
        <f t="shared" si="2"/>
        <v>0</v>
      </c>
      <c r="N31" s="85">
        <f t="shared" si="2"/>
        <v>0</v>
      </c>
      <c r="O31" s="85">
        <f t="shared" si="2"/>
        <v>0</v>
      </c>
      <c r="P31" s="85">
        <f t="shared" si="2"/>
        <v>0</v>
      </c>
    </row>
    <row r="32" spans="2:17">
      <c r="B32" s="112">
        <f>+'Rev Input'!B26</f>
        <v>100</v>
      </c>
      <c r="C32" s="112">
        <f>+'Rev Input'!C26</f>
        <v>3600</v>
      </c>
      <c r="D32" s="47">
        <f>+'Rev Input'!D26</f>
        <v>0</v>
      </c>
      <c r="E32" s="48">
        <f>+'Rev Input'!E26</f>
        <v>0</v>
      </c>
      <c r="F32" s="25"/>
      <c r="G32" s="25" t="str">
        <f>+'Rev Input'!F26</f>
        <v>Donations</v>
      </c>
      <c r="H32" s="24">
        <f>+'Rev Input'!J26</f>
        <v>88372.264999999999</v>
      </c>
      <c r="I32" s="1" t="str">
        <f t="shared" si="1"/>
        <v>*</v>
      </c>
      <c r="M32" s="85">
        <f t="shared" si="2"/>
        <v>88372.264999999999</v>
      </c>
      <c r="N32" s="85">
        <f t="shared" si="2"/>
        <v>0</v>
      </c>
      <c r="O32" s="85">
        <f t="shared" si="2"/>
        <v>0</v>
      </c>
      <c r="P32" s="85">
        <f t="shared" si="2"/>
        <v>0</v>
      </c>
    </row>
    <row r="33" spans="1:16">
      <c r="B33" s="112">
        <f>+'Rev Input'!B27</f>
        <v>360</v>
      </c>
      <c r="C33" s="112">
        <f>+'Rev Input'!C27</f>
        <v>3397</v>
      </c>
      <c r="D33" s="47">
        <f>+'Rev Input'!D27</f>
        <v>0</v>
      </c>
      <c r="E33" s="48">
        <f>+'Rev Input'!E27</f>
        <v>0</v>
      </c>
      <c r="F33" s="25"/>
      <c r="G33" s="25" t="str">
        <f>+'Rev Input'!F27</f>
        <v>Capital Outlay</v>
      </c>
      <c r="H33" s="24">
        <f>+'Rev Input'!J27</f>
        <v>31707</v>
      </c>
      <c r="I33" s="1" t="str">
        <f t="shared" si="1"/>
        <v>*</v>
      </c>
      <c r="M33" s="85">
        <f t="shared" si="2"/>
        <v>0</v>
      </c>
      <c r="N33" s="85">
        <f t="shared" si="2"/>
        <v>31707</v>
      </c>
      <c r="O33" s="85">
        <f t="shared" si="2"/>
        <v>0</v>
      </c>
      <c r="P33" s="85">
        <f t="shared" si="2"/>
        <v>0</v>
      </c>
    </row>
    <row r="34" spans="1:16" hidden="1">
      <c r="B34" s="112"/>
      <c r="C34" s="112"/>
      <c r="D34" s="47"/>
      <c r="E34" s="48"/>
      <c r="F34" s="25"/>
      <c r="G34" s="25"/>
      <c r="H34" s="24"/>
      <c r="M34" s="85">
        <f t="shared" si="2"/>
        <v>0</v>
      </c>
      <c r="N34" s="85">
        <f t="shared" si="2"/>
        <v>0</v>
      </c>
      <c r="O34" s="85">
        <f t="shared" si="2"/>
        <v>0</v>
      </c>
      <c r="P34" s="85">
        <f t="shared" si="2"/>
        <v>0</v>
      </c>
    </row>
    <row r="35" spans="1:16" hidden="1">
      <c r="A35" s="63"/>
      <c r="B35" s="112"/>
      <c r="C35" s="112"/>
      <c r="D35" s="47"/>
      <c r="E35" s="48"/>
      <c r="F35" s="25"/>
      <c r="G35" s="25"/>
      <c r="H35" s="24"/>
      <c r="M35" s="85">
        <f t="shared" si="2"/>
        <v>0</v>
      </c>
      <c r="N35" s="85">
        <f t="shared" si="2"/>
        <v>0</v>
      </c>
      <c r="O35" s="85">
        <f t="shared" si="2"/>
        <v>0</v>
      </c>
      <c r="P35" s="85">
        <f t="shared" si="2"/>
        <v>0</v>
      </c>
    </row>
    <row r="36" spans="1:16" hidden="1">
      <c r="A36" s="63"/>
      <c r="B36" s="31"/>
      <c r="C36" s="31"/>
      <c r="D36" s="67"/>
      <c r="E36" s="68"/>
      <c r="F36" s="31"/>
      <c r="G36" s="31"/>
      <c r="H36" s="58"/>
      <c r="M36" s="85">
        <f t="shared" si="2"/>
        <v>0</v>
      </c>
      <c r="N36" s="85">
        <f t="shared" si="2"/>
        <v>0</v>
      </c>
      <c r="O36" s="85">
        <f t="shared" si="2"/>
        <v>0</v>
      </c>
      <c r="P36" s="85">
        <f t="shared" si="2"/>
        <v>0</v>
      </c>
    </row>
    <row r="37" spans="1:16" hidden="1">
      <c r="A37" s="63"/>
      <c r="B37" s="31"/>
      <c r="C37" s="31"/>
      <c r="D37" s="67"/>
      <c r="E37" s="68"/>
      <c r="F37" s="31"/>
      <c r="G37" s="31"/>
      <c r="H37" s="58"/>
      <c r="M37" s="85">
        <f t="shared" si="2"/>
        <v>0</v>
      </c>
      <c r="N37" s="85">
        <f t="shared" si="2"/>
        <v>0</v>
      </c>
      <c r="O37" s="85">
        <f t="shared" si="2"/>
        <v>0</v>
      </c>
      <c r="P37" s="85">
        <f t="shared" si="2"/>
        <v>0</v>
      </c>
    </row>
    <row r="38" spans="1:16" hidden="1">
      <c r="A38" s="63"/>
      <c r="B38" s="31"/>
      <c r="C38" s="31"/>
      <c r="D38" s="67"/>
      <c r="E38" s="68"/>
      <c r="F38" s="31"/>
      <c r="G38" s="31"/>
      <c r="H38" s="58"/>
      <c r="M38" s="85">
        <f t="shared" si="2"/>
        <v>0</v>
      </c>
      <c r="N38" s="85">
        <f t="shared" si="2"/>
        <v>0</v>
      </c>
      <c r="O38" s="85">
        <f t="shared" si="2"/>
        <v>0</v>
      </c>
      <c r="P38" s="85">
        <f t="shared" si="2"/>
        <v>0</v>
      </c>
    </row>
    <row r="39" spans="1:16" hidden="1">
      <c r="B39" s="25"/>
      <c r="C39" s="25"/>
      <c r="D39" s="47"/>
      <c r="E39" s="48"/>
      <c r="F39" s="25"/>
      <c r="G39" s="25"/>
      <c r="H39" s="24"/>
      <c r="I39" s="1" t="str">
        <f>IF(SUM(H39:H39)&gt;0.49,"*","")</f>
        <v/>
      </c>
      <c r="M39" s="85">
        <f t="shared" si="2"/>
        <v>0</v>
      </c>
      <c r="N39" s="85">
        <f t="shared" si="2"/>
        <v>0</v>
      </c>
      <c r="O39" s="85">
        <f t="shared" si="2"/>
        <v>0</v>
      </c>
      <c r="P39" s="85">
        <f t="shared" si="2"/>
        <v>0</v>
      </c>
    </row>
    <row r="40" spans="1:16" hidden="1">
      <c r="B40" s="25"/>
      <c r="C40" s="25"/>
      <c r="D40" s="47"/>
      <c r="E40" s="48"/>
      <c r="F40" s="25"/>
      <c r="G40" s="25"/>
      <c r="H40" s="24"/>
      <c r="I40" s="1" t="str">
        <f>IF(SUM(H40:H40)&gt;0.49,"*","")</f>
        <v/>
      </c>
      <c r="M40" s="85">
        <f t="shared" si="2"/>
        <v>0</v>
      </c>
      <c r="N40" s="85">
        <f t="shared" si="2"/>
        <v>0</v>
      </c>
      <c r="O40" s="85">
        <f t="shared" si="2"/>
        <v>0</v>
      </c>
      <c r="P40" s="85">
        <f t="shared" si="2"/>
        <v>0</v>
      </c>
    </row>
    <row r="41" spans="1:16">
      <c r="B41" s="25"/>
      <c r="C41" s="25"/>
      <c r="D41" s="25"/>
      <c r="E41" s="25"/>
      <c r="F41" s="25"/>
      <c r="G41" s="25"/>
      <c r="H41" s="21"/>
      <c r="I41" s="1" t="str">
        <f>IF(I42="*","*","")</f>
        <v>*</v>
      </c>
      <c r="M41" s="85">
        <f t="shared" si="2"/>
        <v>0</v>
      </c>
      <c r="N41" s="85">
        <f t="shared" si="2"/>
        <v>0</v>
      </c>
      <c r="O41" s="85">
        <f t="shared" si="2"/>
        <v>0</v>
      </c>
      <c r="P41" s="85">
        <f t="shared" si="2"/>
        <v>0</v>
      </c>
    </row>
    <row r="42" spans="1:16" ht="15" customHeight="1">
      <c r="G42" s="10" t="s">
        <v>30</v>
      </c>
      <c r="H42" s="23">
        <f t="shared" ref="H42" si="3">SUM(H15:H41)</f>
        <v>1288671.0349999999</v>
      </c>
      <c r="I42" s="1" t="str">
        <f>IF(SUM(H42)&gt;0.49,"*","")</f>
        <v>*</v>
      </c>
      <c r="M42" s="85">
        <f>SUM(M16:M41)</f>
        <v>915082.81499999994</v>
      </c>
      <c r="N42" s="85">
        <f>SUM(N16:N41)</f>
        <v>31707</v>
      </c>
      <c r="O42" s="85">
        <f>SUM(O16:O41)</f>
        <v>212289.32</v>
      </c>
      <c r="P42" s="85">
        <f>SUM(P16:P41)</f>
        <v>129591.9</v>
      </c>
    </row>
    <row r="43" spans="1:16">
      <c r="G43" s="10"/>
      <c r="I43" s="1" t="s">
        <v>64</v>
      </c>
      <c r="M43" s="85"/>
      <c r="N43" s="85"/>
      <c r="O43" s="85"/>
      <c r="P43" s="85"/>
    </row>
    <row r="44" spans="1:16">
      <c r="G44" s="9" t="s">
        <v>31</v>
      </c>
      <c r="I44" s="1" t="s">
        <v>64</v>
      </c>
      <c r="M44" s="85"/>
      <c r="N44" s="85"/>
      <c r="O44" s="85"/>
      <c r="P44" s="85"/>
    </row>
    <row r="45" spans="1:16">
      <c r="B45" s="1"/>
      <c r="C45" s="1"/>
      <c r="D45" s="1"/>
      <c r="E45" s="1"/>
      <c r="F45" s="1"/>
      <c r="I45" s="1" t="s">
        <v>64</v>
      </c>
      <c r="M45" s="85"/>
      <c r="N45" s="85"/>
      <c r="O45" s="85"/>
      <c r="P45" s="85"/>
    </row>
    <row r="46" spans="1:16" hidden="1">
      <c r="A46" s="19">
        <v>1</v>
      </c>
      <c r="B46" s="25">
        <v>100</v>
      </c>
      <c r="C46" s="25">
        <v>4000</v>
      </c>
      <c r="D46" s="25">
        <v>5100</v>
      </c>
      <c r="E46" s="25">
        <v>120</v>
      </c>
      <c r="F46" s="25"/>
      <c r="G46" s="25" t="s">
        <v>0</v>
      </c>
      <c r="H46" s="58"/>
      <c r="I46" s="1" t="str">
        <f t="shared" ref="I46:I69" si="4">IF(SUM(H46)&gt;0.49,"*","")</f>
        <v/>
      </c>
      <c r="M46" s="85">
        <f t="shared" si="2"/>
        <v>0</v>
      </c>
      <c r="N46" s="85">
        <f t="shared" si="2"/>
        <v>0</v>
      </c>
      <c r="O46" s="85">
        <f t="shared" si="2"/>
        <v>0</v>
      </c>
      <c r="P46" s="85">
        <f t="shared" si="2"/>
        <v>0</v>
      </c>
    </row>
    <row r="47" spans="1:16" hidden="1">
      <c r="A47" s="19">
        <v>1</v>
      </c>
      <c r="B47" s="25">
        <v>100</v>
      </c>
      <c r="C47" s="25">
        <v>4000</v>
      </c>
      <c r="D47" s="25">
        <v>5100</v>
      </c>
      <c r="E47" s="25">
        <v>150</v>
      </c>
      <c r="F47" s="25"/>
      <c r="G47" s="25" t="s">
        <v>1</v>
      </c>
      <c r="H47" s="58"/>
      <c r="I47" s="1" t="str">
        <f t="shared" si="4"/>
        <v/>
      </c>
      <c r="M47" s="85">
        <f t="shared" si="2"/>
        <v>0</v>
      </c>
      <c r="N47" s="85">
        <f t="shared" si="2"/>
        <v>0</v>
      </c>
      <c r="O47" s="85">
        <f t="shared" si="2"/>
        <v>0</v>
      </c>
      <c r="P47" s="85">
        <f t="shared" si="2"/>
        <v>0</v>
      </c>
    </row>
    <row r="48" spans="1:16" hidden="1">
      <c r="A48" s="19">
        <v>1</v>
      </c>
      <c r="B48" s="25">
        <v>100</v>
      </c>
      <c r="C48" s="25">
        <v>4000</v>
      </c>
      <c r="D48" s="25">
        <v>5100</v>
      </c>
      <c r="E48" s="25">
        <v>210</v>
      </c>
      <c r="F48" s="25"/>
      <c r="G48" s="25" t="s">
        <v>48</v>
      </c>
      <c r="H48" s="58"/>
      <c r="I48" s="1" t="str">
        <f t="shared" si="4"/>
        <v/>
      </c>
      <c r="M48" s="85">
        <f t="shared" si="2"/>
        <v>0</v>
      </c>
      <c r="N48" s="85">
        <f t="shared" si="2"/>
        <v>0</v>
      </c>
      <c r="O48" s="85">
        <f t="shared" si="2"/>
        <v>0</v>
      </c>
      <c r="P48" s="85">
        <f t="shared" si="2"/>
        <v>0</v>
      </c>
    </row>
    <row r="49" spans="1:16" hidden="1">
      <c r="A49" s="19">
        <v>1</v>
      </c>
      <c r="B49" s="25">
        <v>100</v>
      </c>
      <c r="C49" s="25">
        <v>4000</v>
      </c>
      <c r="D49" s="25">
        <v>5100</v>
      </c>
      <c r="E49" s="25">
        <v>220</v>
      </c>
      <c r="F49" s="25"/>
      <c r="G49" s="25" t="s">
        <v>49</v>
      </c>
      <c r="H49" s="58"/>
      <c r="I49" s="1" t="str">
        <f t="shared" si="4"/>
        <v/>
      </c>
      <c r="M49" s="85">
        <f t="shared" si="2"/>
        <v>0</v>
      </c>
      <c r="N49" s="85">
        <f t="shared" si="2"/>
        <v>0</v>
      </c>
      <c r="O49" s="85">
        <f t="shared" si="2"/>
        <v>0</v>
      </c>
      <c r="P49" s="85">
        <f t="shared" si="2"/>
        <v>0</v>
      </c>
    </row>
    <row r="50" spans="1:16" hidden="1">
      <c r="A50" s="19">
        <v>1</v>
      </c>
      <c r="B50" s="25">
        <v>100</v>
      </c>
      <c r="C50" s="25">
        <v>4000</v>
      </c>
      <c r="D50" s="25">
        <v>5100</v>
      </c>
      <c r="E50" s="25">
        <v>230</v>
      </c>
      <c r="F50" s="25"/>
      <c r="G50" s="25" t="s">
        <v>50</v>
      </c>
      <c r="H50" s="58"/>
      <c r="I50" s="1" t="str">
        <f t="shared" si="4"/>
        <v/>
      </c>
      <c r="M50" s="85">
        <f t="shared" si="2"/>
        <v>0</v>
      </c>
      <c r="N50" s="85">
        <f t="shared" si="2"/>
        <v>0</v>
      </c>
      <c r="O50" s="85">
        <f t="shared" si="2"/>
        <v>0</v>
      </c>
      <c r="P50" s="85">
        <f t="shared" si="2"/>
        <v>0</v>
      </c>
    </row>
    <row r="51" spans="1:16" hidden="1">
      <c r="A51" s="19">
        <v>1</v>
      </c>
      <c r="B51" s="25">
        <v>100</v>
      </c>
      <c r="C51" s="25">
        <v>4000</v>
      </c>
      <c r="D51" s="25">
        <v>5100</v>
      </c>
      <c r="E51" s="25">
        <v>240</v>
      </c>
      <c r="F51" s="25"/>
      <c r="G51" s="25" t="s">
        <v>51</v>
      </c>
      <c r="H51" s="58"/>
      <c r="I51" s="1" t="str">
        <f t="shared" si="4"/>
        <v/>
      </c>
      <c r="M51" s="85">
        <f t="shared" si="2"/>
        <v>0</v>
      </c>
      <c r="N51" s="85">
        <f t="shared" si="2"/>
        <v>0</v>
      </c>
      <c r="O51" s="85">
        <f t="shared" si="2"/>
        <v>0</v>
      </c>
      <c r="P51" s="85">
        <f t="shared" si="2"/>
        <v>0</v>
      </c>
    </row>
    <row r="52" spans="1:16" hidden="1">
      <c r="A52" s="19">
        <v>1</v>
      </c>
      <c r="B52" s="25">
        <v>100</v>
      </c>
      <c r="C52" s="25">
        <v>4000</v>
      </c>
      <c r="D52" s="25">
        <v>5100</v>
      </c>
      <c r="E52" s="25">
        <v>250</v>
      </c>
      <c r="F52" s="25"/>
      <c r="G52" s="25" t="s">
        <v>52</v>
      </c>
      <c r="H52" s="58"/>
      <c r="I52" s="1" t="str">
        <f t="shared" si="4"/>
        <v/>
      </c>
      <c r="M52" s="85">
        <f t="shared" si="2"/>
        <v>0</v>
      </c>
      <c r="N52" s="85">
        <f t="shared" si="2"/>
        <v>0</v>
      </c>
      <c r="O52" s="85">
        <f t="shared" si="2"/>
        <v>0</v>
      </c>
      <c r="P52" s="85">
        <f t="shared" si="2"/>
        <v>0</v>
      </c>
    </row>
    <row r="53" spans="1:16" s="64" customFormat="1" hidden="1">
      <c r="A53" s="63"/>
      <c r="B53" s="31"/>
      <c r="C53" s="31"/>
      <c r="D53" s="31"/>
      <c r="E53" s="31"/>
      <c r="F53" s="31"/>
      <c r="G53" s="31"/>
      <c r="H53" s="58"/>
      <c r="I53" s="1" t="str">
        <f t="shared" si="4"/>
        <v/>
      </c>
      <c r="J53" s="1"/>
      <c r="K53" s="1"/>
      <c r="L53" s="1"/>
      <c r="M53" s="85">
        <f t="shared" si="2"/>
        <v>0</v>
      </c>
      <c r="N53" s="85">
        <f t="shared" si="2"/>
        <v>0</v>
      </c>
      <c r="O53" s="85">
        <f t="shared" si="2"/>
        <v>0</v>
      </c>
      <c r="P53" s="85">
        <f t="shared" si="2"/>
        <v>0</v>
      </c>
    </row>
    <row r="54" spans="1:16" hidden="1">
      <c r="A54" s="19"/>
      <c r="B54" s="25"/>
      <c r="C54" s="25"/>
      <c r="D54" s="25"/>
      <c r="E54" s="25"/>
      <c r="F54" s="25"/>
      <c r="G54" s="25"/>
      <c r="H54" s="24"/>
      <c r="I54" s="1" t="str">
        <f t="shared" si="4"/>
        <v/>
      </c>
      <c r="M54" s="85">
        <f t="shared" si="2"/>
        <v>0</v>
      </c>
      <c r="N54" s="85">
        <f t="shared" si="2"/>
        <v>0</v>
      </c>
      <c r="O54" s="85">
        <f t="shared" si="2"/>
        <v>0</v>
      </c>
      <c r="P54" s="85">
        <f t="shared" si="2"/>
        <v>0</v>
      </c>
    </row>
    <row r="55" spans="1:16" hidden="1">
      <c r="A55" s="19"/>
      <c r="B55" s="31"/>
      <c r="C55" s="31"/>
      <c r="D55" s="31"/>
      <c r="E55" s="31"/>
      <c r="F55" s="31"/>
      <c r="G55" s="31"/>
      <c r="H55" s="58"/>
      <c r="I55" s="1" t="str">
        <f t="shared" si="4"/>
        <v/>
      </c>
      <c r="M55" s="85">
        <f t="shared" si="2"/>
        <v>0</v>
      </c>
      <c r="N55" s="85">
        <f t="shared" si="2"/>
        <v>0</v>
      </c>
      <c r="O55" s="85">
        <f t="shared" si="2"/>
        <v>0</v>
      </c>
      <c r="P55" s="85">
        <f t="shared" si="2"/>
        <v>0</v>
      </c>
    </row>
    <row r="56" spans="1:16" hidden="1">
      <c r="A56" s="19"/>
      <c r="B56" s="31"/>
      <c r="C56" s="31"/>
      <c r="D56" s="31"/>
      <c r="E56" s="31"/>
      <c r="F56" s="31"/>
      <c r="G56" s="31"/>
      <c r="H56" s="58"/>
      <c r="I56" s="1" t="str">
        <f t="shared" si="4"/>
        <v/>
      </c>
      <c r="M56" s="85">
        <f t="shared" si="2"/>
        <v>0</v>
      </c>
      <c r="N56" s="85">
        <f t="shared" si="2"/>
        <v>0</v>
      </c>
      <c r="O56" s="85">
        <f t="shared" si="2"/>
        <v>0</v>
      </c>
      <c r="P56" s="85">
        <f t="shared" si="2"/>
        <v>0</v>
      </c>
    </row>
    <row r="57" spans="1:16" hidden="1">
      <c r="A57" s="19"/>
      <c r="B57" s="25"/>
      <c r="C57" s="25"/>
      <c r="D57" s="25"/>
      <c r="E57" s="25"/>
      <c r="F57" s="25"/>
      <c r="G57" s="25"/>
      <c r="H57" s="24"/>
      <c r="I57" s="1" t="str">
        <f t="shared" si="4"/>
        <v/>
      </c>
      <c r="M57" s="85">
        <f t="shared" si="2"/>
        <v>0</v>
      </c>
      <c r="N57" s="85">
        <f t="shared" si="2"/>
        <v>0</v>
      </c>
      <c r="O57" s="85">
        <f t="shared" si="2"/>
        <v>0</v>
      </c>
      <c r="P57" s="85">
        <f t="shared" si="2"/>
        <v>0</v>
      </c>
    </row>
    <row r="58" spans="1:16" hidden="1">
      <c r="A58" s="19"/>
      <c r="B58" s="25"/>
      <c r="C58" s="25"/>
      <c r="D58" s="25"/>
      <c r="E58" s="25"/>
      <c r="F58" s="25"/>
      <c r="G58" s="25"/>
      <c r="H58" s="24"/>
      <c r="I58" s="1" t="str">
        <f t="shared" si="4"/>
        <v/>
      </c>
      <c r="M58" s="85">
        <f t="shared" si="2"/>
        <v>0</v>
      </c>
      <c r="N58" s="85">
        <f t="shared" si="2"/>
        <v>0</v>
      </c>
      <c r="O58" s="85">
        <f t="shared" si="2"/>
        <v>0</v>
      </c>
      <c r="P58" s="85">
        <f t="shared" si="2"/>
        <v>0</v>
      </c>
    </row>
    <row r="59" spans="1:16" hidden="1">
      <c r="A59" s="19"/>
      <c r="B59" s="25"/>
      <c r="C59" s="25"/>
      <c r="D59" s="25"/>
      <c r="E59" s="25"/>
      <c r="F59" s="25"/>
      <c r="G59" s="25"/>
      <c r="H59" s="24"/>
      <c r="I59" s="1" t="str">
        <f t="shared" si="4"/>
        <v/>
      </c>
      <c r="M59" s="85">
        <f t="shared" si="2"/>
        <v>0</v>
      </c>
      <c r="N59" s="85">
        <f t="shared" si="2"/>
        <v>0</v>
      </c>
      <c r="O59" s="85">
        <f t="shared" si="2"/>
        <v>0</v>
      </c>
      <c r="P59" s="85">
        <f t="shared" si="2"/>
        <v>0</v>
      </c>
    </row>
    <row r="60" spans="1:16" hidden="1">
      <c r="A60" s="19"/>
      <c r="B60" s="25"/>
      <c r="C60" s="25"/>
      <c r="D60" s="25"/>
      <c r="E60" s="25"/>
      <c r="F60" s="25"/>
      <c r="G60" s="25"/>
      <c r="H60" s="24"/>
      <c r="I60" s="1" t="str">
        <f t="shared" si="4"/>
        <v/>
      </c>
      <c r="M60" s="85">
        <f t="shared" si="2"/>
        <v>0</v>
      </c>
      <c r="N60" s="85">
        <f t="shared" si="2"/>
        <v>0</v>
      </c>
      <c r="O60" s="85">
        <f t="shared" si="2"/>
        <v>0</v>
      </c>
      <c r="P60" s="85">
        <f t="shared" si="2"/>
        <v>0</v>
      </c>
    </row>
    <row r="61" spans="1:16" hidden="1">
      <c r="A61" s="19"/>
      <c r="B61" s="25"/>
      <c r="C61" s="25"/>
      <c r="D61" s="25"/>
      <c r="E61" s="25"/>
      <c r="F61" s="25"/>
      <c r="G61" s="25"/>
      <c r="H61" s="24"/>
      <c r="I61" s="1" t="str">
        <f t="shared" si="4"/>
        <v/>
      </c>
      <c r="M61" s="85">
        <f t="shared" si="2"/>
        <v>0</v>
      </c>
      <c r="N61" s="85">
        <f t="shared" si="2"/>
        <v>0</v>
      </c>
      <c r="O61" s="85">
        <f t="shared" si="2"/>
        <v>0</v>
      </c>
      <c r="P61" s="85">
        <f t="shared" si="2"/>
        <v>0</v>
      </c>
    </row>
    <row r="62" spans="1:16" s="64" customFormat="1" hidden="1">
      <c r="A62" s="61"/>
      <c r="B62" s="31"/>
      <c r="C62" s="31"/>
      <c r="D62" s="31"/>
      <c r="E62" s="31"/>
      <c r="F62" s="31"/>
      <c r="G62" s="31"/>
      <c r="H62" s="58"/>
      <c r="I62" s="1" t="str">
        <f t="shared" si="4"/>
        <v/>
      </c>
      <c r="J62" s="1"/>
      <c r="K62" s="1"/>
      <c r="L62" s="1"/>
      <c r="M62" s="85">
        <f t="shared" si="2"/>
        <v>0</v>
      </c>
      <c r="N62" s="85">
        <f t="shared" si="2"/>
        <v>0</v>
      </c>
      <c r="O62" s="85">
        <f t="shared" si="2"/>
        <v>0</v>
      </c>
      <c r="P62" s="85">
        <f t="shared" si="2"/>
        <v>0</v>
      </c>
    </row>
    <row r="63" spans="1:16" hidden="1">
      <c r="A63" s="19"/>
      <c r="B63" s="25"/>
      <c r="C63" s="25"/>
      <c r="D63" s="25"/>
      <c r="E63" s="25"/>
      <c r="F63" s="25"/>
      <c r="G63" s="25"/>
      <c r="H63" s="24"/>
      <c r="I63" s="1" t="str">
        <f t="shared" si="4"/>
        <v/>
      </c>
      <c r="M63" s="85">
        <f t="shared" si="2"/>
        <v>0</v>
      </c>
      <c r="N63" s="85">
        <f t="shared" si="2"/>
        <v>0</v>
      </c>
      <c r="O63" s="85">
        <f t="shared" si="2"/>
        <v>0</v>
      </c>
      <c r="P63" s="85">
        <f t="shared" si="2"/>
        <v>0</v>
      </c>
    </row>
    <row r="64" spans="1:16" hidden="1">
      <c r="A64" s="19"/>
      <c r="B64" s="25"/>
      <c r="C64" s="25"/>
      <c r="D64" s="25"/>
      <c r="E64" s="25"/>
      <c r="F64" s="25"/>
      <c r="G64" s="25"/>
      <c r="H64" s="24"/>
      <c r="I64" s="1" t="str">
        <f t="shared" si="4"/>
        <v/>
      </c>
      <c r="M64" s="85">
        <f t="shared" si="2"/>
        <v>0</v>
      </c>
      <c r="N64" s="85">
        <f t="shared" si="2"/>
        <v>0</v>
      </c>
      <c r="O64" s="85">
        <f t="shared" si="2"/>
        <v>0</v>
      </c>
      <c r="P64" s="85">
        <f t="shared" si="2"/>
        <v>0</v>
      </c>
    </row>
    <row r="65" spans="1:16" hidden="1">
      <c r="A65" s="19"/>
      <c r="B65" s="25"/>
      <c r="C65" s="25"/>
      <c r="D65" s="25"/>
      <c r="E65" s="25"/>
      <c r="F65" s="25"/>
      <c r="G65" s="25"/>
      <c r="H65" s="24"/>
      <c r="I65" s="1" t="str">
        <f t="shared" si="4"/>
        <v/>
      </c>
      <c r="M65" s="85">
        <f t="shared" si="2"/>
        <v>0</v>
      </c>
      <c r="N65" s="85">
        <f t="shared" si="2"/>
        <v>0</v>
      </c>
      <c r="O65" s="85">
        <f t="shared" si="2"/>
        <v>0</v>
      </c>
      <c r="P65" s="85">
        <f t="shared" si="2"/>
        <v>0</v>
      </c>
    </row>
    <row r="66" spans="1:16" hidden="1">
      <c r="A66" s="19"/>
      <c r="B66" s="25"/>
      <c r="C66" s="25"/>
      <c r="D66" s="25"/>
      <c r="E66" s="25"/>
      <c r="F66" s="25"/>
      <c r="G66" s="25"/>
      <c r="H66" s="24"/>
      <c r="I66" s="1" t="str">
        <f t="shared" si="4"/>
        <v/>
      </c>
      <c r="M66" s="85">
        <f t="shared" si="2"/>
        <v>0</v>
      </c>
      <c r="N66" s="85">
        <f t="shared" si="2"/>
        <v>0</v>
      </c>
      <c r="O66" s="85">
        <f t="shared" si="2"/>
        <v>0</v>
      </c>
      <c r="P66" s="85">
        <f t="shared" si="2"/>
        <v>0</v>
      </c>
    </row>
    <row r="67" spans="1:16" hidden="1">
      <c r="A67" s="19"/>
      <c r="B67" s="25"/>
      <c r="C67" s="25"/>
      <c r="D67" s="25"/>
      <c r="E67" s="25"/>
      <c r="F67" s="25"/>
      <c r="G67" s="25"/>
      <c r="H67" s="24"/>
      <c r="I67" s="1" t="str">
        <f t="shared" si="4"/>
        <v/>
      </c>
      <c r="M67" s="85">
        <f t="shared" si="2"/>
        <v>0</v>
      </c>
      <c r="N67" s="85">
        <f t="shared" si="2"/>
        <v>0</v>
      </c>
      <c r="O67" s="85">
        <f t="shared" si="2"/>
        <v>0</v>
      </c>
      <c r="P67" s="85">
        <f t="shared" si="2"/>
        <v>0</v>
      </c>
    </row>
    <row r="68" spans="1:16" hidden="1">
      <c r="A68" s="61"/>
      <c r="B68" s="25"/>
      <c r="C68" s="25"/>
      <c r="D68" s="25"/>
      <c r="E68" s="25"/>
      <c r="F68" s="25"/>
      <c r="G68" s="25"/>
      <c r="H68" s="58"/>
      <c r="I68" s="1" t="str">
        <f t="shared" si="4"/>
        <v/>
      </c>
      <c r="M68" s="85">
        <f t="shared" si="2"/>
        <v>0</v>
      </c>
      <c r="N68" s="85">
        <f t="shared" si="2"/>
        <v>0</v>
      </c>
      <c r="O68" s="85">
        <f t="shared" si="2"/>
        <v>0</v>
      </c>
      <c r="P68" s="85">
        <f t="shared" si="2"/>
        <v>0</v>
      </c>
    </row>
    <row r="69" spans="1:16" hidden="1">
      <c r="A69" s="19"/>
      <c r="B69" s="25"/>
      <c r="C69" s="25"/>
      <c r="D69" s="25"/>
      <c r="E69" s="25"/>
      <c r="F69" s="25"/>
      <c r="G69" s="25"/>
      <c r="H69" s="58"/>
      <c r="I69" s="1" t="str">
        <f t="shared" si="4"/>
        <v/>
      </c>
      <c r="M69" s="85">
        <f t="shared" si="2"/>
        <v>0</v>
      </c>
      <c r="N69" s="85">
        <f t="shared" si="2"/>
        <v>0</v>
      </c>
      <c r="O69" s="85">
        <f t="shared" si="2"/>
        <v>0</v>
      </c>
      <c r="P69" s="85">
        <f t="shared" si="2"/>
        <v>0</v>
      </c>
    </row>
    <row r="70" spans="1:16" hidden="1">
      <c r="A70" s="19"/>
      <c r="B70" s="25"/>
      <c r="C70" s="25"/>
      <c r="D70" s="25"/>
      <c r="E70" s="25"/>
      <c r="F70" s="25"/>
      <c r="G70" s="25"/>
      <c r="H70" s="26"/>
      <c r="I70" s="1" t="str">
        <f>IF(I71="*","*","")</f>
        <v/>
      </c>
      <c r="M70" s="85">
        <f t="shared" si="2"/>
        <v>0</v>
      </c>
      <c r="N70" s="85">
        <f t="shared" si="2"/>
        <v>0</v>
      </c>
      <c r="O70" s="85">
        <f t="shared" si="2"/>
        <v>0</v>
      </c>
      <c r="P70" s="85">
        <f t="shared" si="2"/>
        <v>0</v>
      </c>
    </row>
    <row r="71" spans="1:16" hidden="1">
      <c r="A71" s="19"/>
      <c r="B71" s="11"/>
      <c r="C71" s="11"/>
      <c r="D71" s="11"/>
      <c r="E71" s="11"/>
      <c r="F71" s="11"/>
      <c r="G71" s="16" t="s">
        <v>32</v>
      </c>
      <c r="H71" s="23">
        <f t="shared" ref="H71" si="5">SUM(H46:H69)</f>
        <v>0</v>
      </c>
      <c r="I71" s="1" t="str">
        <f>IF(SUM(H71)&gt;0.49,"*","")</f>
        <v/>
      </c>
      <c r="M71" s="85">
        <f t="shared" si="2"/>
        <v>0</v>
      </c>
      <c r="N71" s="85">
        <f t="shared" si="2"/>
        <v>0</v>
      </c>
      <c r="O71" s="85">
        <f t="shared" si="2"/>
        <v>0</v>
      </c>
      <c r="P71" s="85">
        <f t="shared" si="2"/>
        <v>0</v>
      </c>
    </row>
    <row r="72" spans="1:16" hidden="1">
      <c r="A72" s="19"/>
      <c r="B72" s="1"/>
      <c r="C72" s="1"/>
      <c r="D72" s="1"/>
      <c r="E72" s="1"/>
      <c r="F72" s="1"/>
      <c r="G72" s="11"/>
      <c r="I72" s="1" t="str">
        <f>IF(I71="*","*","")</f>
        <v/>
      </c>
      <c r="M72" s="85">
        <f t="shared" si="2"/>
        <v>0</v>
      </c>
      <c r="N72" s="85">
        <f t="shared" si="2"/>
        <v>0</v>
      </c>
      <c r="O72" s="85">
        <f t="shared" si="2"/>
        <v>0</v>
      </c>
      <c r="P72" s="85">
        <f t="shared" si="2"/>
        <v>0</v>
      </c>
    </row>
    <row r="73" spans="1:16">
      <c r="A73" s="19">
        <v>1</v>
      </c>
      <c r="B73" s="25">
        <v>100</v>
      </c>
      <c r="C73" s="25">
        <v>4000</v>
      </c>
      <c r="D73" s="25">
        <v>5200</v>
      </c>
      <c r="E73" s="25">
        <v>120</v>
      </c>
      <c r="F73" s="25"/>
      <c r="G73" s="25" t="s">
        <v>92</v>
      </c>
      <c r="H73" s="58">
        <f>+Payroll!F20</f>
        <v>158962.7112941737</v>
      </c>
      <c r="I73" s="1" t="str">
        <f t="shared" ref="I73" si="6">IF(SUM(H73)&gt;0.49,"*","")</f>
        <v>*</v>
      </c>
      <c r="K73" s="8">
        <f>SUM(H73:H81)</f>
        <v>506051.20281853701</v>
      </c>
      <c r="M73" s="85">
        <f t="shared" si="2"/>
        <v>158962.7112941737</v>
      </c>
      <c r="N73" s="85">
        <f t="shared" si="2"/>
        <v>0</v>
      </c>
      <c r="O73" s="85">
        <f t="shared" si="2"/>
        <v>0</v>
      </c>
      <c r="P73" s="85">
        <f t="shared" si="2"/>
        <v>0</v>
      </c>
    </row>
    <row r="74" spans="1:16">
      <c r="A74" s="19">
        <v>1</v>
      </c>
      <c r="B74" s="25">
        <v>100</v>
      </c>
      <c r="C74" s="25">
        <v>4000</v>
      </c>
      <c r="D74" s="25">
        <v>5200</v>
      </c>
      <c r="E74" s="25">
        <v>121</v>
      </c>
      <c r="F74" s="25"/>
      <c r="G74" s="25" t="s">
        <v>165</v>
      </c>
      <c r="H74" s="58">
        <f>+Payroll!F34</f>
        <v>10477.440000000002</v>
      </c>
      <c r="I74" s="1" t="str">
        <f t="shared" ref="I74" si="7">IF(SUM(H74)&gt;0.49,"*","")</f>
        <v>*</v>
      </c>
      <c r="K74" s="86">
        <f>Payroll!N34+Payroll!N57+Payroll!N20</f>
        <v>443051.20281853707</v>
      </c>
      <c r="M74" s="85">
        <f t="shared" si="2"/>
        <v>10477.440000000002</v>
      </c>
      <c r="N74" s="85">
        <f t="shared" si="2"/>
        <v>0</v>
      </c>
      <c r="O74" s="85">
        <f t="shared" si="2"/>
        <v>0</v>
      </c>
      <c r="P74" s="85">
        <f t="shared" si="2"/>
        <v>0</v>
      </c>
    </row>
    <row r="75" spans="1:16">
      <c r="A75" s="19">
        <v>1</v>
      </c>
      <c r="B75" s="25">
        <v>100</v>
      </c>
      <c r="C75" s="25">
        <v>4000</v>
      </c>
      <c r="D75" s="25">
        <v>5200</v>
      </c>
      <c r="E75" s="25">
        <v>150</v>
      </c>
      <c r="F75" s="25"/>
      <c r="G75" s="25" t="s">
        <v>170</v>
      </c>
      <c r="H75" s="58">
        <f>+Payroll!F57</f>
        <v>168564.79200000002</v>
      </c>
      <c r="I75" s="1" t="str">
        <f t="shared" ref="I75" si="8">IF(SUM(H75)&gt;0.49,"*","")</f>
        <v>*</v>
      </c>
      <c r="M75" s="85">
        <f t="shared" si="2"/>
        <v>168564.79200000002</v>
      </c>
      <c r="N75" s="85">
        <f t="shared" si="2"/>
        <v>0</v>
      </c>
      <c r="O75" s="85">
        <f t="shared" si="2"/>
        <v>0</v>
      </c>
      <c r="P75" s="85">
        <f t="shared" si="2"/>
        <v>0</v>
      </c>
    </row>
    <row r="76" spans="1:16">
      <c r="A76" s="19">
        <v>1</v>
      </c>
      <c r="B76" s="25">
        <v>100</v>
      </c>
      <c r="C76" s="25">
        <v>4000</v>
      </c>
      <c r="D76" s="25">
        <v>5200</v>
      </c>
      <c r="E76" s="25">
        <v>210</v>
      </c>
      <c r="F76" s="25"/>
      <c r="G76" s="25" t="s">
        <v>48</v>
      </c>
      <c r="H76" s="58">
        <f>+Payroll!G34+Payroll!G57+Payroll!G20</f>
        <v>33800.494329417372</v>
      </c>
      <c r="I76" s="1" t="str">
        <f t="shared" ref="I76:I104" si="9">IF(SUM(H76)&gt;0.49,"*","")</f>
        <v>*</v>
      </c>
      <c r="M76" s="85">
        <f t="shared" si="2"/>
        <v>33800.494329417372</v>
      </c>
      <c r="N76" s="85">
        <f t="shared" si="2"/>
        <v>0</v>
      </c>
      <c r="O76" s="85">
        <f t="shared" si="2"/>
        <v>0</v>
      </c>
      <c r="P76" s="85">
        <f t="shared" si="2"/>
        <v>0</v>
      </c>
    </row>
    <row r="77" spans="1:16">
      <c r="A77" s="19">
        <v>1</v>
      </c>
      <c r="B77" s="25">
        <v>100</v>
      </c>
      <c r="C77" s="25">
        <v>4000</v>
      </c>
      <c r="D77" s="25">
        <v>5200</v>
      </c>
      <c r="E77" s="25">
        <v>220</v>
      </c>
      <c r="F77" s="25"/>
      <c r="G77" s="25" t="s">
        <v>49</v>
      </c>
      <c r="H77" s="58">
        <f>+Payroll!I34+Payroll!I57+Payroll!I20</f>
        <v>25857.378162004286</v>
      </c>
      <c r="I77" s="1" t="str">
        <f t="shared" si="9"/>
        <v>*</v>
      </c>
      <c r="M77" s="85">
        <f t="shared" si="2"/>
        <v>25857.378162004286</v>
      </c>
      <c r="N77" s="85">
        <f t="shared" si="2"/>
        <v>0</v>
      </c>
      <c r="O77" s="85">
        <f t="shared" si="2"/>
        <v>0</v>
      </c>
      <c r="P77" s="85">
        <f t="shared" si="2"/>
        <v>0</v>
      </c>
    </row>
    <row r="78" spans="1:16" ht="13.8" customHeight="1">
      <c r="A78" s="19">
        <v>1</v>
      </c>
      <c r="B78" s="25">
        <v>100</v>
      </c>
      <c r="C78" s="25">
        <v>4000</v>
      </c>
      <c r="D78" s="25">
        <v>5200</v>
      </c>
      <c r="E78" s="25">
        <v>230</v>
      </c>
      <c r="F78" s="25"/>
      <c r="G78" s="25" t="s">
        <v>50</v>
      </c>
      <c r="H78" s="58">
        <f>+Payroll!J34+Payroll!J57+Payroll!J20</f>
        <v>41535.950399999994</v>
      </c>
      <c r="I78" s="1" t="str">
        <f t="shared" si="9"/>
        <v>*</v>
      </c>
      <c r="M78" s="85">
        <f t="shared" si="2"/>
        <v>41535.950399999994</v>
      </c>
      <c r="N78" s="85">
        <f t="shared" si="2"/>
        <v>0</v>
      </c>
      <c r="O78" s="85">
        <f t="shared" si="2"/>
        <v>0</v>
      </c>
      <c r="P78" s="85">
        <f t="shared" si="2"/>
        <v>0</v>
      </c>
    </row>
    <row r="79" spans="1:16">
      <c r="A79" s="19">
        <v>1</v>
      </c>
      <c r="B79" s="25">
        <v>493</v>
      </c>
      <c r="C79" s="25">
        <v>4000</v>
      </c>
      <c r="D79" s="25">
        <v>5200</v>
      </c>
      <c r="E79" s="25">
        <v>230</v>
      </c>
      <c r="F79" s="25"/>
      <c r="G79" s="25" t="s">
        <v>50</v>
      </c>
      <c r="H79" s="58">
        <v>63000</v>
      </c>
      <c r="I79" s="1" t="str">
        <f t="shared" ref="I79" si="10">IF(SUM(H79)&gt;0.49,"*","")</f>
        <v>*</v>
      </c>
      <c r="M79" s="85">
        <f t="shared" si="2"/>
        <v>0</v>
      </c>
      <c r="N79" s="85">
        <f t="shared" si="2"/>
        <v>0</v>
      </c>
      <c r="O79" s="85">
        <f t="shared" si="2"/>
        <v>63000</v>
      </c>
      <c r="P79" s="85">
        <f t="shared" si="2"/>
        <v>0</v>
      </c>
    </row>
    <row r="80" spans="1:16">
      <c r="A80" s="19">
        <v>1</v>
      </c>
      <c r="B80" s="25">
        <v>100</v>
      </c>
      <c r="C80" s="25">
        <v>4000</v>
      </c>
      <c r="D80" s="25">
        <v>5200</v>
      </c>
      <c r="E80" s="25">
        <v>240</v>
      </c>
      <c r="F80" s="25"/>
      <c r="G80" s="25" t="s">
        <v>51</v>
      </c>
      <c r="H80" s="58">
        <f>+Payroll!L34+Payroll!L57+Payroll!L20</f>
        <v>3380.0494329417375</v>
      </c>
      <c r="I80" s="1" t="str">
        <f t="shared" si="9"/>
        <v>*</v>
      </c>
      <c r="M80" s="85">
        <f t="shared" si="2"/>
        <v>3380.0494329417375</v>
      </c>
      <c r="N80" s="85">
        <f t="shared" si="2"/>
        <v>0</v>
      </c>
      <c r="O80" s="85">
        <f t="shared" si="2"/>
        <v>0</v>
      </c>
      <c r="P80" s="85">
        <f t="shared" si="2"/>
        <v>0</v>
      </c>
    </row>
    <row r="81" spans="1:17">
      <c r="A81" s="19">
        <v>1</v>
      </c>
      <c r="B81" s="25">
        <v>100</v>
      </c>
      <c r="C81" s="25">
        <v>4000</v>
      </c>
      <c r="D81" s="25">
        <v>5200</v>
      </c>
      <c r="E81" s="25">
        <v>250</v>
      </c>
      <c r="F81" s="25"/>
      <c r="G81" s="25" t="s">
        <v>52</v>
      </c>
      <c r="H81" s="58">
        <f>+Payroll!M34+Payroll!M57+Payroll!M20</f>
        <v>472.38720000000001</v>
      </c>
      <c r="I81" s="1" t="str">
        <f t="shared" si="9"/>
        <v>*</v>
      </c>
      <c r="M81" s="85">
        <f t="shared" si="2"/>
        <v>472.38720000000001</v>
      </c>
      <c r="N81" s="85">
        <f t="shared" si="2"/>
        <v>0</v>
      </c>
      <c r="O81" s="85">
        <f t="shared" si="2"/>
        <v>0</v>
      </c>
      <c r="P81" s="85">
        <f t="shared" si="2"/>
        <v>0</v>
      </c>
      <c r="Q81" s="8"/>
    </row>
    <row r="82" spans="1:17" hidden="1">
      <c r="A82" s="19"/>
      <c r="B82" s="25"/>
      <c r="C82" s="25"/>
      <c r="D82" s="25"/>
      <c r="E82" s="25"/>
      <c r="F82" s="25"/>
      <c r="G82" s="25"/>
      <c r="H82" s="58"/>
      <c r="I82" s="1" t="str">
        <f t="shared" si="9"/>
        <v/>
      </c>
      <c r="M82" s="85">
        <f t="shared" ref="M82:P146" si="11">IF($B82=M$14,$H82,0)</f>
        <v>0</v>
      </c>
      <c r="N82" s="85">
        <f t="shared" si="11"/>
        <v>0</v>
      </c>
      <c r="O82" s="85">
        <f t="shared" si="11"/>
        <v>0</v>
      </c>
      <c r="P82" s="85">
        <f t="shared" si="11"/>
        <v>0</v>
      </c>
    </row>
    <row r="83" spans="1:17">
      <c r="A83" s="19"/>
      <c r="B83" s="25">
        <f>+'Expense Input'!B9</f>
        <v>100</v>
      </c>
      <c r="C83" s="25">
        <f>+'Expense Input'!C9</f>
        <v>4000</v>
      </c>
      <c r="D83" s="25">
        <f>+'Expense Input'!D9</f>
        <v>5200</v>
      </c>
      <c r="E83" s="25">
        <f>+'Expense Input'!E9</f>
        <v>310</v>
      </c>
      <c r="F83" s="25"/>
      <c r="G83" s="25" t="str">
        <f>+'Expense Input'!F9</f>
        <v>Contracted Services</v>
      </c>
      <c r="H83" s="58">
        <f>+'Expense Input'!M9</f>
        <v>16545.713950000001</v>
      </c>
      <c r="I83" s="1" t="str">
        <f t="shared" ref="I83" si="12">IF(SUM(H83)&gt;0.49,"*","")</f>
        <v>*</v>
      </c>
      <c r="K83" s="8"/>
      <c r="M83" s="85">
        <f t="shared" si="11"/>
        <v>16545.713950000001</v>
      </c>
      <c r="N83" s="85">
        <f t="shared" si="11"/>
        <v>0</v>
      </c>
      <c r="O83" s="85">
        <f t="shared" si="11"/>
        <v>0</v>
      </c>
      <c r="P83" s="85">
        <f t="shared" si="11"/>
        <v>0</v>
      </c>
    </row>
    <row r="84" spans="1:17">
      <c r="A84" s="19"/>
      <c r="B84" s="25">
        <f>+'Expense Input'!B10</f>
        <v>493</v>
      </c>
      <c r="C84" s="25">
        <f>+'Expense Input'!C10</f>
        <v>4000</v>
      </c>
      <c r="D84" s="25">
        <f>+'Expense Input'!D10</f>
        <v>5200</v>
      </c>
      <c r="E84" s="25">
        <f>+'Expense Input'!E10</f>
        <v>310</v>
      </c>
      <c r="F84" s="25"/>
      <c r="G84" s="25" t="str">
        <f>+'Expense Input'!F10</f>
        <v>Contracted Services</v>
      </c>
      <c r="H84" s="58">
        <f>+'Expense Input'!M10</f>
        <v>19800</v>
      </c>
      <c r="I84" s="1" t="str">
        <f t="shared" si="9"/>
        <v>*</v>
      </c>
      <c r="K84" s="8"/>
      <c r="M84" s="85">
        <f t="shared" si="11"/>
        <v>0</v>
      </c>
      <c r="N84" s="85">
        <f t="shared" si="11"/>
        <v>0</v>
      </c>
      <c r="O84" s="85">
        <f t="shared" si="11"/>
        <v>19800</v>
      </c>
      <c r="P84" s="85">
        <f t="shared" si="11"/>
        <v>0</v>
      </c>
    </row>
    <row r="85" spans="1:17">
      <c r="A85" s="19"/>
      <c r="B85" s="25">
        <f>+'Expense Input'!B11</f>
        <v>100</v>
      </c>
      <c r="C85" s="25">
        <f>+'Expense Input'!C11</f>
        <v>4000</v>
      </c>
      <c r="D85" s="25">
        <f>+'Expense Input'!D11</f>
        <v>5200</v>
      </c>
      <c r="E85" s="25">
        <f>+'Expense Input'!E11</f>
        <v>315</v>
      </c>
      <c r="F85" s="25"/>
      <c r="G85" s="25" t="str">
        <f>+'Expense Input'!F11</f>
        <v>Field Trips</v>
      </c>
      <c r="H85" s="58">
        <f>+'Expense Input'!M11</f>
        <v>10496.93</v>
      </c>
      <c r="I85" s="1" t="str">
        <f t="shared" ref="I85" si="13">IF(SUM(H85)&gt;0.49,"*","")</f>
        <v>*</v>
      </c>
      <c r="M85" s="85">
        <f t="shared" si="11"/>
        <v>10496.93</v>
      </c>
      <c r="N85" s="85">
        <f t="shared" si="11"/>
        <v>0</v>
      </c>
      <c r="O85" s="85">
        <f t="shared" si="11"/>
        <v>0</v>
      </c>
      <c r="P85" s="85">
        <f t="shared" si="11"/>
        <v>0</v>
      </c>
    </row>
    <row r="86" spans="1:17">
      <c r="A86" s="19"/>
      <c r="B86" s="25">
        <f>+'Expense Input'!B12</f>
        <v>100</v>
      </c>
      <c r="C86" s="25">
        <f>+'Expense Input'!C12</f>
        <v>4000</v>
      </c>
      <c r="D86" s="25">
        <f>+'Expense Input'!D12</f>
        <v>5200</v>
      </c>
      <c r="E86" s="25">
        <f>+'Expense Input'!E12</f>
        <v>330</v>
      </c>
      <c r="F86" s="25"/>
      <c r="G86" s="25" t="str">
        <f>+'Expense Input'!F12</f>
        <v>Travel/Conference/Workshops</v>
      </c>
      <c r="H86" s="58">
        <f>+'Expense Input'!M12</f>
        <v>50727.754999999997</v>
      </c>
      <c r="I86" s="1" t="str">
        <f t="shared" ref="I86" si="14">IF(SUM(H86)&gt;0.49,"*","")</f>
        <v>*</v>
      </c>
      <c r="M86" s="85">
        <f t="shared" si="11"/>
        <v>50727.754999999997</v>
      </c>
      <c r="N86" s="85">
        <f t="shared" si="11"/>
        <v>0</v>
      </c>
      <c r="O86" s="85">
        <f t="shared" si="11"/>
        <v>0</v>
      </c>
      <c r="P86" s="85">
        <f t="shared" si="11"/>
        <v>0</v>
      </c>
    </row>
    <row r="87" spans="1:17">
      <c r="A87" s="19"/>
      <c r="B87" s="25">
        <f>+'Expense Input'!B13</f>
        <v>100</v>
      </c>
      <c r="C87" s="25">
        <f>+'Expense Input'!C13</f>
        <v>4000</v>
      </c>
      <c r="D87" s="25">
        <f>+'Expense Input'!D13</f>
        <v>5200</v>
      </c>
      <c r="E87" s="25">
        <f>+'Expense Input'!E13</f>
        <v>390</v>
      </c>
      <c r="F87" s="25"/>
      <c r="G87" s="25" t="str">
        <f>+'Expense Input'!F13</f>
        <v>Copy and Printing</v>
      </c>
      <c r="H87" s="58">
        <f>+'Expense Input'!M13</f>
        <v>4055.6679857142854</v>
      </c>
      <c r="I87" s="1" t="str">
        <f t="shared" ref="I87" si="15">IF(SUM(H87)&gt;0.49,"*","")</f>
        <v>*</v>
      </c>
      <c r="K87" s="8"/>
      <c r="M87" s="85">
        <f t="shared" si="11"/>
        <v>4055.6679857142854</v>
      </c>
      <c r="N87" s="85">
        <f t="shared" si="11"/>
        <v>0</v>
      </c>
      <c r="O87" s="85">
        <f t="shared" si="11"/>
        <v>0</v>
      </c>
      <c r="P87" s="85">
        <f t="shared" si="11"/>
        <v>0</v>
      </c>
    </row>
    <row r="88" spans="1:17">
      <c r="A88" s="19"/>
      <c r="B88" s="25">
        <f>+'Expense Input'!B14</f>
        <v>100</v>
      </c>
      <c r="C88" s="25">
        <f>+'Expense Input'!C14</f>
        <v>4000</v>
      </c>
      <c r="D88" s="25">
        <f>+'Expense Input'!D14</f>
        <v>5200</v>
      </c>
      <c r="E88" s="25">
        <f>+'Expense Input'!E14</f>
        <v>510</v>
      </c>
      <c r="F88" s="25"/>
      <c r="G88" s="25" t="str">
        <f>+'Expense Input'!F14</f>
        <v>Instructional Materials</v>
      </c>
      <c r="H88" s="58">
        <f>+'Expense Input'!M14</f>
        <v>109061.71395</v>
      </c>
      <c r="I88" s="1" t="str">
        <f t="shared" ref="I88:I89" si="16">IF(SUM(H88)&gt;0.49,"*","")</f>
        <v>*</v>
      </c>
      <c r="M88" s="85">
        <f t="shared" si="11"/>
        <v>109061.71395</v>
      </c>
      <c r="N88" s="85">
        <f t="shared" si="11"/>
        <v>0</v>
      </c>
      <c r="O88" s="85">
        <f t="shared" si="11"/>
        <v>0</v>
      </c>
      <c r="P88" s="85">
        <f t="shared" si="11"/>
        <v>0</v>
      </c>
    </row>
    <row r="89" spans="1:17" hidden="1">
      <c r="A89" s="19"/>
      <c r="B89" s="25">
        <f>+'Expense Input'!B15</f>
        <v>100</v>
      </c>
      <c r="C89" s="25">
        <f>+'Expense Input'!C15</f>
        <v>4000</v>
      </c>
      <c r="D89" s="25">
        <f>+'Expense Input'!D15</f>
        <v>5200</v>
      </c>
      <c r="E89" s="25">
        <f>+'Expense Input'!E15</f>
        <v>640</v>
      </c>
      <c r="F89" s="25"/>
      <c r="G89" s="25" t="str">
        <f>+'Expense Input'!F15</f>
        <v>Capital Furniture &amp; Equipment</v>
      </c>
      <c r="H89" s="58">
        <f>+'Expense Input'!M15</f>
        <v>0</v>
      </c>
      <c r="I89" s="1" t="str">
        <f t="shared" si="16"/>
        <v/>
      </c>
      <c r="M89" s="85">
        <f t="shared" si="11"/>
        <v>0</v>
      </c>
      <c r="N89" s="85">
        <f t="shared" si="11"/>
        <v>0</v>
      </c>
      <c r="O89" s="85">
        <f t="shared" si="11"/>
        <v>0</v>
      </c>
      <c r="P89" s="85">
        <f t="shared" si="11"/>
        <v>0</v>
      </c>
    </row>
    <row r="90" spans="1:17">
      <c r="A90" s="19"/>
      <c r="B90" s="25">
        <f>+'Expense Input'!B16</f>
        <v>100</v>
      </c>
      <c r="C90" s="25">
        <f>+'Expense Input'!C16</f>
        <v>4000</v>
      </c>
      <c r="D90" s="25">
        <f>+'Expense Input'!D16</f>
        <v>5200</v>
      </c>
      <c r="E90" s="25">
        <f>+'Expense Input'!E16</f>
        <v>642</v>
      </c>
      <c r="F90" s="25"/>
      <c r="G90" s="25" t="str">
        <f>+'Expense Input'!F16</f>
        <v>Non Capital Furniture &amp; Equipment</v>
      </c>
      <c r="H90" s="58">
        <f>+'Expense Input'!M16</f>
        <v>7658.83</v>
      </c>
      <c r="I90" s="1" t="str">
        <f t="shared" ref="I90" si="17">IF(SUM(H90)&gt;0.49,"*","")</f>
        <v>*</v>
      </c>
      <c r="M90" s="85">
        <f t="shared" si="11"/>
        <v>7658.83</v>
      </c>
      <c r="N90" s="85">
        <f t="shared" si="11"/>
        <v>0</v>
      </c>
      <c r="O90" s="85">
        <f t="shared" si="11"/>
        <v>0</v>
      </c>
      <c r="P90" s="85">
        <f t="shared" si="11"/>
        <v>0</v>
      </c>
    </row>
    <row r="91" spans="1:17">
      <c r="A91" s="19"/>
      <c r="B91" s="25">
        <f>+'Expense Input'!B17</f>
        <v>100</v>
      </c>
      <c r="C91" s="25">
        <f>+'Expense Input'!C17</f>
        <v>4000</v>
      </c>
      <c r="D91" s="25">
        <f>+'Expense Input'!D17</f>
        <v>5200</v>
      </c>
      <c r="E91" s="25">
        <f>+'Expense Input'!E17</f>
        <v>730</v>
      </c>
      <c r="F91" s="25"/>
      <c r="G91" s="25" t="str">
        <f>+'Expense Input'!F17</f>
        <v>Dues and Fees</v>
      </c>
      <c r="H91" s="58">
        <f>+'Expense Input'!M17</f>
        <v>224.22</v>
      </c>
      <c r="I91" s="1" t="str">
        <f t="shared" si="9"/>
        <v>*</v>
      </c>
      <c r="M91" s="85">
        <f t="shared" si="11"/>
        <v>224.22</v>
      </c>
      <c r="N91" s="85">
        <f t="shared" si="11"/>
        <v>0</v>
      </c>
      <c r="O91" s="85">
        <f t="shared" si="11"/>
        <v>0</v>
      </c>
      <c r="P91" s="85">
        <f t="shared" si="11"/>
        <v>0</v>
      </c>
    </row>
    <row r="92" spans="1:17" hidden="1">
      <c r="A92" s="19"/>
      <c r="B92" s="25"/>
      <c r="C92" s="25"/>
      <c r="D92" s="25"/>
      <c r="E92" s="25"/>
      <c r="F92" s="25"/>
      <c r="G92" s="25"/>
      <c r="H92" s="58"/>
      <c r="I92" s="1" t="str">
        <f t="shared" ref="I92" si="18">IF(SUM(H92)&gt;0.49,"*","")</f>
        <v/>
      </c>
      <c r="M92" s="85">
        <f t="shared" si="11"/>
        <v>0</v>
      </c>
      <c r="N92" s="85">
        <f t="shared" si="11"/>
        <v>0</v>
      </c>
      <c r="O92" s="85">
        <f t="shared" si="11"/>
        <v>0</v>
      </c>
      <c r="P92" s="85">
        <f t="shared" si="11"/>
        <v>0</v>
      </c>
    </row>
    <row r="93" spans="1:17" hidden="1">
      <c r="A93" s="19"/>
      <c r="B93" s="25"/>
      <c r="C93" s="25"/>
      <c r="D93" s="25"/>
      <c r="E93" s="25"/>
      <c r="F93" s="25"/>
      <c r="G93" s="25"/>
      <c r="H93" s="58"/>
      <c r="I93" s="1" t="str">
        <f t="shared" si="9"/>
        <v/>
      </c>
      <c r="M93" s="85">
        <f t="shared" si="11"/>
        <v>0</v>
      </c>
      <c r="N93" s="85">
        <f t="shared" si="11"/>
        <v>0</v>
      </c>
      <c r="O93" s="85">
        <f t="shared" si="11"/>
        <v>0</v>
      </c>
      <c r="P93" s="85">
        <f t="shared" si="11"/>
        <v>0</v>
      </c>
    </row>
    <row r="94" spans="1:17" hidden="1">
      <c r="A94" s="19"/>
      <c r="B94" s="25"/>
      <c r="C94" s="25"/>
      <c r="D94" s="25"/>
      <c r="E94" s="25"/>
      <c r="F94" s="25"/>
      <c r="G94" s="25"/>
      <c r="H94" s="58"/>
      <c r="I94" s="1" t="str">
        <f t="shared" ref="I94" si="19">IF(SUM(H94)&gt;0.49,"*","")</f>
        <v/>
      </c>
      <c r="M94" s="85">
        <f t="shared" si="11"/>
        <v>0</v>
      </c>
      <c r="N94" s="85">
        <f t="shared" si="11"/>
        <v>0</v>
      </c>
      <c r="O94" s="85">
        <f t="shared" si="11"/>
        <v>0</v>
      </c>
      <c r="P94" s="85">
        <f t="shared" si="11"/>
        <v>0</v>
      </c>
    </row>
    <row r="95" spans="1:17" hidden="1">
      <c r="A95" s="19"/>
      <c r="B95" s="25"/>
      <c r="C95" s="25"/>
      <c r="D95" s="25"/>
      <c r="E95" s="25"/>
      <c r="F95" s="25"/>
      <c r="G95" s="25"/>
      <c r="H95" s="58"/>
      <c r="I95" s="1" t="str">
        <f t="shared" ref="I95" si="20">IF(SUM(H95)&gt;0.49,"*","")</f>
        <v/>
      </c>
      <c r="M95" s="85">
        <f t="shared" si="11"/>
        <v>0</v>
      </c>
      <c r="N95" s="85">
        <f t="shared" si="11"/>
        <v>0</v>
      </c>
      <c r="O95" s="85">
        <f t="shared" si="11"/>
        <v>0</v>
      </c>
      <c r="P95" s="85">
        <f t="shared" si="11"/>
        <v>0</v>
      </c>
    </row>
    <row r="96" spans="1:17" hidden="1">
      <c r="A96" s="19"/>
      <c r="B96" s="25"/>
      <c r="C96" s="25"/>
      <c r="D96" s="25"/>
      <c r="E96" s="25"/>
      <c r="F96" s="25"/>
      <c r="G96" s="25"/>
      <c r="H96" s="58"/>
      <c r="I96" s="1" t="str">
        <f t="shared" ref="I96" si="21">IF(SUM(H96)&gt;0.49,"*","")</f>
        <v/>
      </c>
      <c r="M96" s="85">
        <f t="shared" si="11"/>
        <v>0</v>
      </c>
      <c r="N96" s="85">
        <f t="shared" si="11"/>
        <v>0</v>
      </c>
      <c r="O96" s="85">
        <f t="shared" si="11"/>
        <v>0</v>
      </c>
      <c r="P96" s="85">
        <f t="shared" si="11"/>
        <v>0</v>
      </c>
    </row>
    <row r="97" spans="1:16" hidden="1">
      <c r="A97" s="19"/>
      <c r="B97" s="25"/>
      <c r="C97" s="25"/>
      <c r="D97" s="25"/>
      <c r="E97" s="25"/>
      <c r="F97" s="25"/>
      <c r="G97" s="25"/>
      <c r="H97" s="58"/>
      <c r="I97" s="1" t="str">
        <f t="shared" ref="I97:I98" si="22">IF(SUM(H97)&gt;0.49,"*","")</f>
        <v/>
      </c>
      <c r="M97" s="85">
        <f t="shared" si="11"/>
        <v>0</v>
      </c>
      <c r="N97" s="85">
        <f t="shared" si="11"/>
        <v>0</v>
      </c>
      <c r="O97" s="85">
        <f t="shared" si="11"/>
        <v>0</v>
      </c>
      <c r="P97" s="85">
        <f t="shared" si="11"/>
        <v>0</v>
      </c>
    </row>
    <row r="98" spans="1:16" hidden="1">
      <c r="A98" s="19"/>
      <c r="B98" s="25"/>
      <c r="C98" s="25"/>
      <c r="D98" s="25"/>
      <c r="E98" s="25"/>
      <c r="F98" s="25"/>
      <c r="G98" s="25"/>
      <c r="H98" s="58"/>
      <c r="I98" s="1" t="str">
        <f t="shared" si="22"/>
        <v/>
      </c>
      <c r="M98" s="85">
        <f t="shared" si="11"/>
        <v>0</v>
      </c>
      <c r="N98" s="85">
        <f t="shared" si="11"/>
        <v>0</v>
      </c>
      <c r="O98" s="85">
        <f t="shared" si="11"/>
        <v>0</v>
      </c>
      <c r="P98" s="85">
        <f t="shared" si="11"/>
        <v>0</v>
      </c>
    </row>
    <row r="99" spans="1:16" hidden="1">
      <c r="A99" s="19"/>
      <c r="B99" s="25"/>
      <c r="C99" s="25"/>
      <c r="D99" s="25"/>
      <c r="E99" s="25"/>
      <c r="F99" s="25"/>
      <c r="G99" s="25"/>
      <c r="H99" s="58"/>
      <c r="I99" s="1" t="str">
        <f t="shared" ref="I99" si="23">IF(SUM(H99)&gt;0.49,"*","")</f>
        <v/>
      </c>
      <c r="M99" s="85">
        <f t="shared" si="11"/>
        <v>0</v>
      </c>
      <c r="N99" s="85">
        <f t="shared" si="11"/>
        <v>0</v>
      </c>
      <c r="O99" s="85">
        <f t="shared" si="11"/>
        <v>0</v>
      </c>
      <c r="P99" s="85">
        <f t="shared" si="11"/>
        <v>0</v>
      </c>
    </row>
    <row r="100" spans="1:16" hidden="1">
      <c r="A100" s="19"/>
      <c r="B100" s="25"/>
      <c r="C100" s="25"/>
      <c r="D100" s="25"/>
      <c r="E100" s="25"/>
      <c r="F100" s="25"/>
      <c r="G100" s="25"/>
      <c r="H100" s="58"/>
      <c r="I100" s="1" t="str">
        <f t="shared" ref="I100" si="24">IF(SUM(H100)&gt;0.49,"*","")</f>
        <v/>
      </c>
      <c r="M100" s="85">
        <f t="shared" si="11"/>
        <v>0</v>
      </c>
      <c r="N100" s="85">
        <f t="shared" si="11"/>
        <v>0</v>
      </c>
      <c r="O100" s="85">
        <f t="shared" si="11"/>
        <v>0</v>
      </c>
      <c r="P100" s="85">
        <f t="shared" si="11"/>
        <v>0</v>
      </c>
    </row>
    <row r="101" spans="1:16" hidden="1">
      <c r="A101" s="19"/>
      <c r="B101" s="25"/>
      <c r="C101" s="25"/>
      <c r="D101" s="25"/>
      <c r="E101" s="25"/>
      <c r="F101" s="25"/>
      <c r="G101" s="25"/>
      <c r="H101" s="58"/>
      <c r="I101" s="1" t="str">
        <f t="shared" ref="I101" si="25">IF(SUM(H101)&gt;0.49,"*","")</f>
        <v/>
      </c>
      <c r="M101" s="85">
        <f t="shared" si="11"/>
        <v>0</v>
      </c>
      <c r="N101" s="85">
        <f t="shared" si="11"/>
        <v>0</v>
      </c>
      <c r="O101" s="85">
        <f t="shared" si="11"/>
        <v>0</v>
      </c>
      <c r="P101" s="85">
        <f t="shared" si="11"/>
        <v>0</v>
      </c>
    </row>
    <row r="102" spans="1:16" hidden="1">
      <c r="A102" s="19"/>
      <c r="B102" s="25"/>
      <c r="C102" s="25"/>
      <c r="D102" s="25"/>
      <c r="E102" s="25"/>
      <c r="F102" s="25"/>
      <c r="G102" s="25"/>
      <c r="H102" s="58"/>
      <c r="I102" s="1" t="str">
        <f t="shared" ref="I102" si="26">IF(SUM(H102)&gt;0.49,"*","")</f>
        <v/>
      </c>
      <c r="M102" s="85">
        <f t="shared" si="11"/>
        <v>0</v>
      </c>
      <c r="N102" s="85">
        <f t="shared" si="11"/>
        <v>0</v>
      </c>
      <c r="O102" s="85">
        <f t="shared" si="11"/>
        <v>0</v>
      </c>
      <c r="P102" s="85">
        <f t="shared" si="11"/>
        <v>0</v>
      </c>
    </row>
    <row r="103" spans="1:16" hidden="1">
      <c r="A103" s="19"/>
      <c r="B103" s="25"/>
      <c r="C103" s="25"/>
      <c r="D103" s="25"/>
      <c r="E103" s="25"/>
      <c r="F103" s="25"/>
      <c r="G103" s="25"/>
      <c r="H103" s="58"/>
      <c r="I103" s="1" t="str">
        <f t="shared" si="9"/>
        <v/>
      </c>
      <c r="M103" s="85">
        <f t="shared" si="11"/>
        <v>0</v>
      </c>
      <c r="N103" s="85">
        <f t="shared" si="11"/>
        <v>0</v>
      </c>
      <c r="O103" s="85">
        <f t="shared" si="11"/>
        <v>0</v>
      </c>
      <c r="P103" s="85">
        <f t="shared" si="11"/>
        <v>0</v>
      </c>
    </row>
    <row r="104" spans="1:16" hidden="1">
      <c r="A104" s="19"/>
      <c r="B104" s="25"/>
      <c r="C104" s="25"/>
      <c r="D104" s="25"/>
      <c r="E104" s="25"/>
      <c r="F104" s="25"/>
      <c r="G104" s="25"/>
      <c r="H104" s="42"/>
      <c r="I104" s="1" t="str">
        <f t="shared" si="9"/>
        <v/>
      </c>
      <c r="M104" s="85">
        <f t="shared" si="11"/>
        <v>0</v>
      </c>
      <c r="N104" s="85">
        <f t="shared" si="11"/>
        <v>0</v>
      </c>
      <c r="O104" s="85">
        <f t="shared" si="11"/>
        <v>0</v>
      </c>
      <c r="P104" s="85">
        <f t="shared" si="11"/>
        <v>0</v>
      </c>
    </row>
    <row r="105" spans="1:16">
      <c r="A105" s="19"/>
      <c r="B105" s="25"/>
      <c r="C105" s="25"/>
      <c r="D105" s="25"/>
      <c r="E105" s="25"/>
      <c r="F105" s="25"/>
      <c r="G105" s="25"/>
      <c r="H105" s="26"/>
      <c r="I105" s="1" t="str">
        <f>IF(I106="*","*","")</f>
        <v>*</v>
      </c>
      <c r="M105" s="85">
        <f t="shared" si="11"/>
        <v>0</v>
      </c>
      <c r="N105" s="85">
        <f t="shared" si="11"/>
        <v>0</v>
      </c>
      <c r="O105" s="85">
        <f t="shared" si="11"/>
        <v>0</v>
      </c>
      <c r="P105" s="85">
        <f t="shared" si="11"/>
        <v>0</v>
      </c>
    </row>
    <row r="106" spans="1:16">
      <c r="A106" s="19"/>
      <c r="B106" s="25"/>
      <c r="C106" s="25"/>
      <c r="D106" s="25"/>
      <c r="E106" s="25"/>
      <c r="G106" s="16" t="s">
        <v>33</v>
      </c>
      <c r="H106" s="23">
        <f>SUM(H73:H105)</f>
        <v>724622.03370425128</v>
      </c>
      <c r="I106" s="1" t="str">
        <f>IF(SUM(H106)&gt;0.49,"*","")</f>
        <v>*</v>
      </c>
      <c r="M106" s="85">
        <f t="shared" si="11"/>
        <v>0</v>
      </c>
      <c r="N106" s="85">
        <f t="shared" si="11"/>
        <v>0</v>
      </c>
      <c r="O106" s="85">
        <f t="shared" si="11"/>
        <v>0</v>
      </c>
      <c r="P106" s="85">
        <f t="shared" si="11"/>
        <v>0</v>
      </c>
    </row>
    <row r="107" spans="1:16">
      <c r="A107" s="19"/>
      <c r="B107" s="25"/>
      <c r="C107" s="25"/>
      <c r="D107" s="25"/>
      <c r="E107" s="25"/>
      <c r="F107" s="1"/>
      <c r="G107" s="11"/>
      <c r="I107" s="1" t="str">
        <f>IF(I106="*","*","")</f>
        <v>*</v>
      </c>
      <c r="M107" s="85">
        <f t="shared" si="11"/>
        <v>0</v>
      </c>
      <c r="N107" s="85">
        <f t="shared" si="11"/>
        <v>0</v>
      </c>
      <c r="O107" s="85">
        <f t="shared" si="11"/>
        <v>0</v>
      </c>
      <c r="P107" s="85">
        <f t="shared" si="11"/>
        <v>0</v>
      </c>
    </row>
    <row r="108" spans="1:16">
      <c r="A108" s="19">
        <v>1</v>
      </c>
      <c r="B108" s="25">
        <v>100</v>
      </c>
      <c r="C108" s="25">
        <v>4000</v>
      </c>
      <c r="D108" s="25">
        <v>6100</v>
      </c>
      <c r="E108" s="25">
        <v>150</v>
      </c>
      <c r="F108" s="25"/>
      <c r="G108" s="25" t="s">
        <v>150</v>
      </c>
      <c r="H108" s="58">
        <f>Payroll!F66</f>
        <v>75887.592000000004</v>
      </c>
      <c r="I108" s="1" t="str">
        <f t="shared" ref="I108:I115" si="27">IF(SUM(H108)&gt;0.49,"*","")</f>
        <v>*</v>
      </c>
      <c r="K108" s="8">
        <f>SUM(H108:H113)</f>
        <v>107975.562468</v>
      </c>
      <c r="M108" s="85">
        <f t="shared" si="11"/>
        <v>75887.592000000004</v>
      </c>
      <c r="N108" s="85">
        <f t="shared" si="11"/>
        <v>0</v>
      </c>
      <c r="O108" s="85">
        <f t="shared" si="11"/>
        <v>0</v>
      </c>
      <c r="P108" s="85">
        <f t="shared" si="11"/>
        <v>0</v>
      </c>
    </row>
    <row r="109" spans="1:16">
      <c r="A109" s="19">
        <v>1</v>
      </c>
      <c r="B109" s="25">
        <v>100</v>
      </c>
      <c r="C109" s="25">
        <v>4000</v>
      </c>
      <c r="D109" s="25">
        <v>6100</v>
      </c>
      <c r="E109" s="25">
        <v>210</v>
      </c>
      <c r="F109" s="25"/>
      <c r="G109" s="25" t="s">
        <v>48</v>
      </c>
      <c r="H109" s="58">
        <f>+Payroll!G66</f>
        <v>7588.7592000000004</v>
      </c>
      <c r="I109" s="1" t="str">
        <f t="shared" si="27"/>
        <v>*</v>
      </c>
      <c r="K109" s="86">
        <f>Payroll!N66</f>
        <v>107975.56246800002</v>
      </c>
      <c r="M109" s="85">
        <f t="shared" si="11"/>
        <v>7588.7592000000004</v>
      </c>
      <c r="N109" s="85">
        <f t="shared" si="11"/>
        <v>0</v>
      </c>
      <c r="O109" s="85">
        <f t="shared" si="11"/>
        <v>0</v>
      </c>
      <c r="P109" s="85">
        <f t="shared" si="11"/>
        <v>0</v>
      </c>
    </row>
    <row r="110" spans="1:16">
      <c r="A110" s="19">
        <v>1</v>
      </c>
      <c r="B110" s="25">
        <v>100</v>
      </c>
      <c r="C110" s="25">
        <v>4000</v>
      </c>
      <c r="D110" s="25">
        <v>6100</v>
      </c>
      <c r="E110" s="25">
        <v>220</v>
      </c>
      <c r="F110" s="25"/>
      <c r="G110" s="25" t="s">
        <v>49</v>
      </c>
      <c r="H110" s="58">
        <f>+Payroll!I66</f>
        <v>5805.4007879999999</v>
      </c>
      <c r="I110" s="1" t="str">
        <f t="shared" si="27"/>
        <v>*</v>
      </c>
      <c r="M110" s="85">
        <f t="shared" si="11"/>
        <v>5805.4007879999999</v>
      </c>
      <c r="N110" s="85">
        <f t="shared" si="11"/>
        <v>0</v>
      </c>
      <c r="O110" s="85">
        <f t="shared" si="11"/>
        <v>0</v>
      </c>
      <c r="P110" s="85">
        <f t="shared" si="11"/>
        <v>0</v>
      </c>
    </row>
    <row r="111" spans="1:16">
      <c r="A111" s="19">
        <v>1</v>
      </c>
      <c r="B111" s="25">
        <v>100</v>
      </c>
      <c r="C111" s="25">
        <v>4000</v>
      </c>
      <c r="D111" s="25">
        <v>6100</v>
      </c>
      <c r="E111" s="25">
        <v>230</v>
      </c>
      <c r="F111" s="25"/>
      <c r="G111" s="25" t="s">
        <v>50</v>
      </c>
      <c r="H111" s="58">
        <f>+Payroll!J66</f>
        <v>17801.121599999999</v>
      </c>
      <c r="I111" s="1" t="str">
        <f>IF(SUM(H108)&gt;0.49,"*","")</f>
        <v>*</v>
      </c>
      <c r="M111" s="85">
        <f t="shared" si="11"/>
        <v>17801.121599999999</v>
      </c>
      <c r="N111" s="85">
        <f t="shared" si="11"/>
        <v>0</v>
      </c>
      <c r="O111" s="85">
        <f t="shared" si="11"/>
        <v>0</v>
      </c>
      <c r="P111" s="85">
        <f t="shared" si="11"/>
        <v>0</v>
      </c>
    </row>
    <row r="112" spans="1:16">
      <c r="A112" s="19">
        <v>1</v>
      </c>
      <c r="B112" s="25">
        <v>100</v>
      </c>
      <c r="C112" s="25">
        <v>4000</v>
      </c>
      <c r="D112" s="25">
        <v>6100</v>
      </c>
      <c r="E112" s="25">
        <v>240</v>
      </c>
      <c r="F112" s="25"/>
      <c r="G112" s="25" t="s">
        <v>51</v>
      </c>
      <c r="H112" s="58">
        <f>+Payroll!L66</f>
        <v>758.87592000000018</v>
      </c>
      <c r="I112" s="1" t="str">
        <f t="shared" si="27"/>
        <v>*</v>
      </c>
      <c r="M112" s="85">
        <f t="shared" si="11"/>
        <v>758.87592000000018</v>
      </c>
      <c r="N112" s="85">
        <f t="shared" si="11"/>
        <v>0</v>
      </c>
      <c r="O112" s="85">
        <f t="shared" si="11"/>
        <v>0</v>
      </c>
      <c r="P112" s="85">
        <f t="shared" si="11"/>
        <v>0</v>
      </c>
    </row>
    <row r="113" spans="1:16">
      <c r="A113" s="19">
        <v>1</v>
      </c>
      <c r="B113" s="25">
        <v>100</v>
      </c>
      <c r="C113" s="25">
        <v>4000</v>
      </c>
      <c r="D113" s="25">
        <v>6100</v>
      </c>
      <c r="E113" s="25">
        <v>250</v>
      </c>
      <c r="F113" s="25"/>
      <c r="G113" s="25" t="s">
        <v>52</v>
      </c>
      <c r="H113" s="58">
        <f>+Payroll!M66</f>
        <v>133.81296</v>
      </c>
      <c r="I113" s="1" t="str">
        <f t="shared" si="27"/>
        <v>*</v>
      </c>
      <c r="M113" s="85">
        <f t="shared" si="11"/>
        <v>133.81296</v>
      </c>
      <c r="N113" s="85">
        <f t="shared" si="11"/>
        <v>0</v>
      </c>
      <c r="O113" s="85">
        <f t="shared" si="11"/>
        <v>0</v>
      </c>
      <c r="P113" s="85">
        <f t="shared" si="11"/>
        <v>0</v>
      </c>
    </row>
    <row r="114" spans="1:16" hidden="1">
      <c r="A114" s="19"/>
      <c r="B114" s="25"/>
      <c r="C114" s="25"/>
      <c r="D114" s="25"/>
      <c r="E114" s="25"/>
      <c r="F114" s="25"/>
      <c r="G114" s="25"/>
      <c r="H114" s="58"/>
      <c r="I114" s="1" t="str">
        <f t="shared" si="27"/>
        <v/>
      </c>
      <c r="M114" s="85">
        <f t="shared" si="11"/>
        <v>0</v>
      </c>
      <c r="N114" s="85">
        <f t="shared" si="11"/>
        <v>0</v>
      </c>
      <c r="O114" s="85">
        <f t="shared" si="11"/>
        <v>0</v>
      </c>
      <c r="P114" s="85">
        <f t="shared" si="11"/>
        <v>0</v>
      </c>
    </row>
    <row r="115" spans="1:16">
      <c r="A115" s="19"/>
      <c r="B115" s="112">
        <f>+'Expense Input'!B18</f>
        <v>100</v>
      </c>
      <c r="C115" s="112">
        <f>+'Expense Input'!C18</f>
        <v>4000</v>
      </c>
      <c r="D115" s="112">
        <f>+'Expense Input'!D18</f>
        <v>6130</v>
      </c>
      <c r="E115" s="112">
        <f>+'Expense Input'!E18</f>
        <v>310</v>
      </c>
      <c r="F115" s="25"/>
      <c r="G115" s="25" t="str">
        <f>+'Expense Input'!F18</f>
        <v>Contracted Services</v>
      </c>
      <c r="H115" s="42">
        <f>+'Expense Input'!M18</f>
        <v>969.6</v>
      </c>
      <c r="I115" s="1" t="str">
        <f t="shared" si="27"/>
        <v>*</v>
      </c>
      <c r="K115" s="8"/>
      <c r="M115" s="85">
        <f t="shared" si="11"/>
        <v>969.6</v>
      </c>
      <c r="N115" s="85">
        <f t="shared" si="11"/>
        <v>0</v>
      </c>
      <c r="O115" s="85">
        <f t="shared" si="11"/>
        <v>0</v>
      </c>
      <c r="P115" s="85">
        <f t="shared" si="11"/>
        <v>0</v>
      </c>
    </row>
    <row r="116" spans="1:16">
      <c r="A116" s="19"/>
      <c r="B116" s="112">
        <f>+'Expense Input'!B19</f>
        <v>100</v>
      </c>
      <c r="C116" s="112">
        <f>+'Expense Input'!C19</f>
        <v>4000</v>
      </c>
      <c r="D116" s="112">
        <f>+'Expense Input'!D19</f>
        <v>6140</v>
      </c>
      <c r="E116" s="112">
        <f>+'Expense Input'!E19</f>
        <v>310</v>
      </c>
      <c r="F116" s="25"/>
      <c r="G116" s="25" t="str">
        <f>+'Expense Input'!F19</f>
        <v>Psychological Contract Services</v>
      </c>
      <c r="H116" s="42">
        <f>+'Expense Input'!M19</f>
        <v>1447.33</v>
      </c>
      <c r="I116" s="1" t="str">
        <f t="shared" ref="I116" si="28">IF(SUM(H116)&gt;0.49,"*","")</f>
        <v>*</v>
      </c>
      <c r="K116" s="8"/>
      <c r="M116" s="85">
        <f t="shared" si="11"/>
        <v>1447.33</v>
      </c>
      <c r="N116" s="85">
        <f t="shared" si="11"/>
        <v>0</v>
      </c>
      <c r="O116" s="85">
        <f t="shared" si="11"/>
        <v>0</v>
      </c>
      <c r="P116" s="85">
        <f t="shared" si="11"/>
        <v>0</v>
      </c>
    </row>
    <row r="117" spans="1:16">
      <c r="A117" s="19"/>
      <c r="B117" s="25"/>
      <c r="C117" s="25"/>
      <c r="D117" s="25"/>
      <c r="E117" s="25"/>
      <c r="F117" s="25"/>
      <c r="G117" s="25"/>
      <c r="H117" s="58"/>
      <c r="I117" s="1" t="str">
        <f>IF(I118="*","*","")</f>
        <v>*</v>
      </c>
      <c r="K117" s="8"/>
      <c r="M117" s="85">
        <f t="shared" si="11"/>
        <v>0</v>
      </c>
      <c r="N117" s="85">
        <f t="shared" si="11"/>
        <v>0</v>
      </c>
      <c r="O117" s="85">
        <f t="shared" si="11"/>
        <v>0</v>
      </c>
      <c r="P117" s="85">
        <f t="shared" si="11"/>
        <v>0</v>
      </c>
    </row>
    <row r="118" spans="1:16">
      <c r="A118" s="19"/>
      <c r="B118" s="25"/>
      <c r="C118" s="25"/>
      <c r="D118" s="25"/>
      <c r="E118" s="25"/>
      <c r="G118" s="16" t="s">
        <v>34</v>
      </c>
      <c r="H118" s="23">
        <f>SUM(H108:H117)</f>
        <v>110392.49246800001</v>
      </c>
      <c r="I118" s="1" t="str">
        <f>IF(SUM(H118)&gt;0.49,"*","")</f>
        <v>*</v>
      </c>
      <c r="M118" s="85">
        <f t="shared" si="11"/>
        <v>0</v>
      </c>
      <c r="N118" s="85">
        <f t="shared" si="11"/>
        <v>0</v>
      </c>
      <c r="O118" s="85">
        <f t="shared" si="11"/>
        <v>0</v>
      </c>
      <c r="P118" s="85">
        <f t="shared" si="11"/>
        <v>0</v>
      </c>
    </row>
    <row r="119" spans="1:16">
      <c r="A119" s="19"/>
      <c r="B119" s="25"/>
      <c r="C119" s="25"/>
      <c r="D119" s="25"/>
      <c r="E119" s="25"/>
      <c r="F119" s="1"/>
      <c r="G119" s="12"/>
      <c r="H119" s="24"/>
      <c r="I119" s="1" t="str">
        <f>IF(I118="*","*","")</f>
        <v>*</v>
      </c>
      <c r="K119" s="8"/>
      <c r="M119" s="85">
        <f t="shared" si="11"/>
        <v>0</v>
      </c>
      <c r="N119" s="85">
        <f t="shared" si="11"/>
        <v>0</v>
      </c>
      <c r="O119" s="85">
        <f t="shared" si="11"/>
        <v>0</v>
      </c>
      <c r="P119" s="85">
        <f t="shared" si="11"/>
        <v>0</v>
      </c>
    </row>
    <row r="120" spans="1:16" hidden="1">
      <c r="A120" s="19">
        <v>1</v>
      </c>
      <c r="B120" s="25">
        <v>100</v>
      </c>
      <c r="C120" s="25">
        <v>4000</v>
      </c>
      <c r="D120" s="25">
        <v>6200</v>
      </c>
      <c r="E120" s="25">
        <v>130</v>
      </c>
      <c r="F120" s="25"/>
      <c r="G120" s="25" t="s">
        <v>53</v>
      </c>
      <c r="H120" s="58">
        <f>Payroll!F70</f>
        <v>0</v>
      </c>
      <c r="I120" s="1" t="str">
        <f t="shared" ref="I120:I125" si="29">IF(SUM(H120)&gt;0.49,"*","")</f>
        <v/>
      </c>
      <c r="K120" s="8"/>
      <c r="M120" s="85">
        <f t="shared" si="11"/>
        <v>0</v>
      </c>
      <c r="N120" s="85">
        <f t="shared" si="11"/>
        <v>0</v>
      </c>
      <c r="O120" s="85">
        <f t="shared" si="11"/>
        <v>0</v>
      </c>
      <c r="P120" s="85">
        <f t="shared" si="11"/>
        <v>0</v>
      </c>
    </row>
    <row r="121" spans="1:16" hidden="1">
      <c r="A121" s="19">
        <v>1</v>
      </c>
      <c r="B121" s="25">
        <v>100</v>
      </c>
      <c r="C121" s="25">
        <v>4000</v>
      </c>
      <c r="D121" s="25">
        <v>6200</v>
      </c>
      <c r="E121" s="25">
        <v>210</v>
      </c>
      <c r="F121" s="25"/>
      <c r="G121" s="25" t="s">
        <v>48</v>
      </c>
      <c r="H121" s="58">
        <f>+Payroll!G70</f>
        <v>0</v>
      </c>
      <c r="I121" s="1" t="str">
        <f t="shared" si="29"/>
        <v/>
      </c>
      <c r="K121" s="86"/>
      <c r="M121" s="85">
        <f t="shared" si="11"/>
        <v>0</v>
      </c>
      <c r="N121" s="85">
        <f t="shared" si="11"/>
        <v>0</v>
      </c>
      <c r="O121" s="85">
        <f t="shared" si="11"/>
        <v>0</v>
      </c>
      <c r="P121" s="85">
        <f t="shared" si="11"/>
        <v>0</v>
      </c>
    </row>
    <row r="122" spans="1:16" hidden="1">
      <c r="A122" s="19">
        <v>1</v>
      </c>
      <c r="B122" s="25">
        <v>100</v>
      </c>
      <c r="C122" s="25">
        <v>4000</v>
      </c>
      <c r="D122" s="25">
        <v>6200</v>
      </c>
      <c r="E122" s="25">
        <v>220</v>
      </c>
      <c r="F122" s="25"/>
      <c r="G122" s="25" t="s">
        <v>49</v>
      </c>
      <c r="H122" s="58">
        <f>+Payroll!I70</f>
        <v>0</v>
      </c>
      <c r="I122" s="1" t="str">
        <f t="shared" si="29"/>
        <v/>
      </c>
      <c r="M122" s="85">
        <f t="shared" si="11"/>
        <v>0</v>
      </c>
      <c r="N122" s="85">
        <f t="shared" si="11"/>
        <v>0</v>
      </c>
      <c r="O122" s="85">
        <f t="shared" si="11"/>
        <v>0</v>
      </c>
      <c r="P122" s="85">
        <f t="shared" si="11"/>
        <v>0</v>
      </c>
    </row>
    <row r="123" spans="1:16" hidden="1">
      <c r="A123" s="19">
        <v>1</v>
      </c>
      <c r="B123" s="25">
        <v>100</v>
      </c>
      <c r="C123" s="25">
        <v>4000</v>
      </c>
      <c r="D123" s="25">
        <v>6200</v>
      </c>
      <c r="E123" s="25">
        <v>230</v>
      </c>
      <c r="F123" s="25"/>
      <c r="G123" s="25" t="s">
        <v>50</v>
      </c>
      <c r="H123" s="58">
        <f>+Payroll!J70</f>
        <v>0</v>
      </c>
      <c r="I123" s="1" t="str">
        <f t="shared" si="29"/>
        <v/>
      </c>
      <c r="M123" s="85">
        <f t="shared" si="11"/>
        <v>0</v>
      </c>
      <c r="N123" s="85">
        <f t="shared" si="11"/>
        <v>0</v>
      </c>
      <c r="O123" s="85">
        <f t="shared" si="11"/>
        <v>0</v>
      </c>
      <c r="P123" s="85">
        <f t="shared" si="11"/>
        <v>0</v>
      </c>
    </row>
    <row r="124" spans="1:16" ht="12" hidden="1" customHeight="1">
      <c r="A124" s="19">
        <v>1</v>
      </c>
      <c r="B124" s="25">
        <v>100</v>
      </c>
      <c r="C124" s="25">
        <v>4000</v>
      </c>
      <c r="D124" s="25">
        <v>6200</v>
      </c>
      <c r="E124" s="25">
        <v>240</v>
      </c>
      <c r="F124" s="25"/>
      <c r="G124" s="25" t="s">
        <v>51</v>
      </c>
      <c r="H124" s="58">
        <f>+Payroll!L70</f>
        <v>0</v>
      </c>
      <c r="I124" s="1" t="str">
        <f t="shared" si="29"/>
        <v/>
      </c>
      <c r="M124" s="85">
        <f t="shared" si="11"/>
        <v>0</v>
      </c>
      <c r="N124" s="85">
        <f t="shared" si="11"/>
        <v>0</v>
      </c>
      <c r="O124" s="85">
        <f t="shared" si="11"/>
        <v>0</v>
      </c>
      <c r="P124" s="85">
        <f t="shared" si="11"/>
        <v>0</v>
      </c>
    </row>
    <row r="125" spans="1:16" hidden="1">
      <c r="A125" s="19">
        <v>1</v>
      </c>
      <c r="B125" s="25">
        <v>100</v>
      </c>
      <c r="C125" s="25">
        <v>4000</v>
      </c>
      <c r="D125" s="25">
        <v>6200</v>
      </c>
      <c r="E125" s="25">
        <v>250</v>
      </c>
      <c r="F125" s="25"/>
      <c r="G125" s="25" t="s">
        <v>52</v>
      </c>
      <c r="H125" s="58">
        <f>+Payroll!M70</f>
        <v>0</v>
      </c>
      <c r="I125" s="1" t="str">
        <f t="shared" si="29"/>
        <v/>
      </c>
      <c r="M125" s="85">
        <f t="shared" si="11"/>
        <v>0</v>
      </c>
      <c r="N125" s="85">
        <f t="shared" si="11"/>
        <v>0</v>
      </c>
      <c r="O125" s="85">
        <f t="shared" si="11"/>
        <v>0</v>
      </c>
      <c r="P125" s="85">
        <f t="shared" si="11"/>
        <v>0</v>
      </c>
    </row>
    <row r="126" spans="1:16" hidden="1">
      <c r="A126" s="19"/>
      <c r="B126" s="25"/>
      <c r="C126" s="25"/>
      <c r="D126" s="25"/>
      <c r="E126" s="25"/>
      <c r="F126" s="25"/>
      <c r="G126" s="25"/>
      <c r="H126" s="24"/>
      <c r="I126" s="1" t="str">
        <f>IF(I127="*","*","")</f>
        <v/>
      </c>
      <c r="M126" s="85">
        <f t="shared" si="11"/>
        <v>0</v>
      </c>
      <c r="N126" s="85">
        <f t="shared" si="11"/>
        <v>0</v>
      </c>
      <c r="O126" s="85">
        <f t="shared" si="11"/>
        <v>0</v>
      </c>
      <c r="P126" s="85">
        <f t="shared" si="11"/>
        <v>0</v>
      </c>
    </row>
    <row r="127" spans="1:16" hidden="1">
      <c r="A127" s="19"/>
      <c r="B127" s="25"/>
      <c r="C127" s="25"/>
      <c r="D127" s="25"/>
      <c r="E127" s="25"/>
      <c r="G127" s="16" t="s">
        <v>35</v>
      </c>
      <c r="H127" s="23">
        <f t="shared" ref="H127" si="30">SUM(H120:H126)</f>
        <v>0</v>
      </c>
      <c r="I127" s="1" t="str">
        <f>IF(SUM(H127)&gt;0.49,"*","")</f>
        <v/>
      </c>
      <c r="M127" s="85">
        <f t="shared" si="11"/>
        <v>0</v>
      </c>
      <c r="N127" s="85">
        <f t="shared" si="11"/>
        <v>0</v>
      </c>
      <c r="O127" s="85">
        <f t="shared" si="11"/>
        <v>0</v>
      </c>
      <c r="P127" s="85">
        <f t="shared" si="11"/>
        <v>0</v>
      </c>
    </row>
    <row r="128" spans="1:16" hidden="1">
      <c r="A128" s="19"/>
      <c r="B128" s="25"/>
      <c r="C128" s="25"/>
      <c r="D128" s="25"/>
      <c r="E128" s="25"/>
      <c r="F128" s="1"/>
      <c r="G128" s="12"/>
      <c r="I128" s="1" t="str">
        <f>IF(I127="*","*","")</f>
        <v/>
      </c>
      <c r="M128" s="85">
        <f t="shared" si="11"/>
        <v>0</v>
      </c>
      <c r="N128" s="85">
        <f t="shared" si="11"/>
        <v>0</v>
      </c>
      <c r="O128" s="85">
        <f t="shared" si="11"/>
        <v>0</v>
      </c>
      <c r="P128" s="85">
        <f t="shared" si="11"/>
        <v>0</v>
      </c>
    </row>
    <row r="129" spans="1:16">
      <c r="A129" s="19"/>
      <c r="B129" s="112">
        <f>+'Expense Input'!B20</f>
        <v>100</v>
      </c>
      <c r="C129" s="112">
        <f>+'Expense Input'!C20</f>
        <v>4000</v>
      </c>
      <c r="D129" s="112">
        <f>+'Expense Input'!D20</f>
        <v>6300</v>
      </c>
      <c r="E129" s="112">
        <f>+'Expense Input'!E20</f>
        <v>590</v>
      </c>
      <c r="F129" s="25"/>
      <c r="G129" s="25" t="str">
        <f>+'Expense Input'!F20</f>
        <v>Testing and Assessment</v>
      </c>
      <c r="H129" s="42">
        <f>+'Expense Input'!M20</f>
        <v>826.17999999999984</v>
      </c>
      <c r="I129" s="1" t="str">
        <f>IF(SUM(H129)&gt;0.49,"*","")</f>
        <v>*</v>
      </c>
      <c r="M129" s="85">
        <f t="shared" si="11"/>
        <v>826.17999999999984</v>
      </c>
      <c r="N129" s="85">
        <f t="shared" si="11"/>
        <v>0</v>
      </c>
      <c r="O129" s="85">
        <f t="shared" si="11"/>
        <v>0</v>
      </c>
      <c r="P129" s="85">
        <f t="shared" si="11"/>
        <v>0</v>
      </c>
    </row>
    <row r="130" spans="1:16">
      <c r="A130" s="19"/>
      <c r="B130" s="25"/>
      <c r="C130" s="25"/>
      <c r="D130" s="25"/>
      <c r="E130" s="25"/>
      <c r="F130" s="1"/>
      <c r="G130" s="37"/>
      <c r="H130" s="26"/>
      <c r="I130" s="1" t="str">
        <f>IF(I131="*","*","")</f>
        <v>*</v>
      </c>
      <c r="M130" s="85">
        <f t="shared" si="11"/>
        <v>0</v>
      </c>
      <c r="N130" s="85">
        <f t="shared" si="11"/>
        <v>0</v>
      </c>
      <c r="O130" s="85">
        <f t="shared" si="11"/>
        <v>0</v>
      </c>
      <c r="P130" s="85">
        <f t="shared" si="11"/>
        <v>0</v>
      </c>
    </row>
    <row r="131" spans="1:16">
      <c r="A131" s="19"/>
      <c r="B131" s="25"/>
      <c r="C131" s="25"/>
      <c r="D131" s="25"/>
      <c r="E131" s="25"/>
      <c r="G131" s="16" t="s">
        <v>36</v>
      </c>
      <c r="H131" s="23">
        <f t="shared" ref="H131" si="31">SUM(H129:H130)</f>
        <v>826.17999999999984</v>
      </c>
      <c r="I131" s="1" t="str">
        <f>IF(SUM(H131)&gt;0.49,"*","")</f>
        <v>*</v>
      </c>
      <c r="M131" s="85">
        <f t="shared" si="11"/>
        <v>0</v>
      </c>
      <c r="N131" s="85">
        <f t="shared" si="11"/>
        <v>0</v>
      </c>
      <c r="O131" s="85">
        <f t="shared" si="11"/>
        <v>0</v>
      </c>
      <c r="P131" s="85">
        <f t="shared" si="11"/>
        <v>0</v>
      </c>
    </row>
    <row r="132" spans="1:16">
      <c r="A132" s="19"/>
      <c r="B132" s="25"/>
      <c r="C132" s="25"/>
      <c r="D132" s="25"/>
      <c r="E132" s="25"/>
      <c r="G132" s="16"/>
      <c r="H132" s="24"/>
      <c r="I132" s="1" t="str">
        <f>IF(I131="*","*","")</f>
        <v>*</v>
      </c>
      <c r="M132" s="85">
        <f t="shared" si="11"/>
        <v>0</v>
      </c>
      <c r="N132" s="85">
        <f t="shared" si="11"/>
        <v>0</v>
      </c>
      <c r="O132" s="85">
        <f t="shared" si="11"/>
        <v>0</v>
      </c>
      <c r="P132" s="85">
        <f t="shared" si="11"/>
        <v>0</v>
      </c>
    </row>
    <row r="133" spans="1:16" ht="12" customHeight="1">
      <c r="A133" s="19"/>
      <c r="B133" s="112">
        <f>+'Expense Input'!B21</f>
        <v>100</v>
      </c>
      <c r="C133" s="112">
        <f>+'Expense Input'!C21</f>
        <v>4000</v>
      </c>
      <c r="D133" s="112">
        <f>+'Expense Input'!D21</f>
        <v>6400</v>
      </c>
      <c r="E133" s="112">
        <f>+'Expense Input'!E21</f>
        <v>310</v>
      </c>
      <c r="F133" s="25"/>
      <c r="G133" s="25" t="str">
        <f>+'Expense Input'!F21</f>
        <v>Staff Development</v>
      </c>
      <c r="H133" s="42">
        <f>+'Expense Input'!M21</f>
        <v>510.04999999999995</v>
      </c>
      <c r="I133" s="1" t="str">
        <f>IF(SUM(H133)&gt;0.49,"*","")</f>
        <v>*</v>
      </c>
      <c r="M133" s="85">
        <f t="shared" si="11"/>
        <v>510.04999999999995</v>
      </c>
      <c r="N133" s="85">
        <f t="shared" si="11"/>
        <v>0</v>
      </c>
      <c r="O133" s="85">
        <f t="shared" si="11"/>
        <v>0</v>
      </c>
      <c r="P133" s="85">
        <f t="shared" si="11"/>
        <v>0</v>
      </c>
    </row>
    <row r="134" spans="1:16" ht="12" hidden="1" customHeight="1">
      <c r="A134" s="19"/>
      <c r="B134" s="112"/>
      <c r="C134" s="112"/>
      <c r="D134" s="112"/>
      <c r="E134" s="112"/>
      <c r="F134" s="25"/>
      <c r="G134" s="25"/>
      <c r="H134" s="24"/>
      <c r="I134" s="1" t="str">
        <f>IF(SUM(H134)&gt;0.49,"*","")</f>
        <v/>
      </c>
      <c r="K134" s="8"/>
      <c r="M134" s="85">
        <f t="shared" si="11"/>
        <v>0</v>
      </c>
      <c r="N134" s="85">
        <f t="shared" si="11"/>
        <v>0</v>
      </c>
      <c r="O134" s="85">
        <f t="shared" si="11"/>
        <v>0</v>
      </c>
      <c r="P134" s="85">
        <f t="shared" si="11"/>
        <v>0</v>
      </c>
    </row>
    <row r="135" spans="1:16" ht="12" customHeight="1">
      <c r="A135" s="19"/>
      <c r="B135" s="25"/>
      <c r="C135" s="25"/>
      <c r="D135" s="25"/>
      <c r="E135" s="25"/>
      <c r="F135" s="25"/>
      <c r="G135" s="25"/>
      <c r="H135" s="26"/>
      <c r="I135" s="1" t="str">
        <f>IF(I136="*","*","")</f>
        <v>*</v>
      </c>
      <c r="K135" s="8"/>
      <c r="M135" s="85">
        <f t="shared" si="11"/>
        <v>0</v>
      </c>
      <c r="N135" s="85">
        <f t="shared" si="11"/>
        <v>0</v>
      </c>
      <c r="O135" s="85">
        <f t="shared" si="11"/>
        <v>0</v>
      </c>
      <c r="P135" s="85">
        <f t="shared" si="11"/>
        <v>0</v>
      </c>
    </row>
    <row r="136" spans="1:16">
      <c r="A136" s="19"/>
      <c r="B136" s="25"/>
      <c r="C136" s="25"/>
      <c r="D136" s="25"/>
      <c r="E136" s="25"/>
      <c r="G136" s="16" t="s">
        <v>37</v>
      </c>
      <c r="H136" s="23">
        <f t="shared" ref="H136" si="32">SUM(H133:H135)</f>
        <v>510.04999999999995</v>
      </c>
      <c r="I136" s="1" t="str">
        <f>IF(SUM(H136)&gt;0.49,"*","")</f>
        <v>*</v>
      </c>
      <c r="M136" s="85">
        <f t="shared" si="11"/>
        <v>0</v>
      </c>
      <c r="N136" s="85">
        <f t="shared" si="11"/>
        <v>0</v>
      </c>
      <c r="O136" s="85">
        <f t="shared" si="11"/>
        <v>0</v>
      </c>
      <c r="P136" s="85">
        <f t="shared" si="11"/>
        <v>0</v>
      </c>
    </row>
    <row r="137" spans="1:16">
      <c r="A137" s="19"/>
      <c r="B137" s="25"/>
      <c r="C137" s="25"/>
      <c r="D137" s="25"/>
      <c r="E137" s="25"/>
      <c r="G137" s="3"/>
      <c r="I137" s="1" t="str">
        <f>IF(I136="*","*","")</f>
        <v>*</v>
      </c>
      <c r="M137" s="85">
        <f t="shared" si="11"/>
        <v>0</v>
      </c>
      <c r="N137" s="85">
        <f t="shared" si="11"/>
        <v>0</v>
      </c>
      <c r="O137" s="85">
        <f t="shared" si="11"/>
        <v>0</v>
      </c>
      <c r="P137" s="85">
        <f t="shared" si="11"/>
        <v>0</v>
      </c>
    </row>
    <row r="138" spans="1:16" s="64" customFormat="1">
      <c r="A138" s="63"/>
      <c r="B138" s="112">
        <f>'Expense Input'!B22</f>
        <v>100</v>
      </c>
      <c r="C138" s="112">
        <f>'Expense Input'!C22</f>
        <v>4000</v>
      </c>
      <c r="D138" s="112">
        <f>'Expense Input'!D22</f>
        <v>6500</v>
      </c>
      <c r="E138" s="112">
        <f>'Expense Input'!E22</f>
        <v>310</v>
      </c>
      <c r="F138" s="32"/>
      <c r="G138" s="32" t="str">
        <f>'Expense Input'!F22</f>
        <v>Technology Support &amp; Service</v>
      </c>
      <c r="H138" s="58">
        <f>+'Expense Input'!M22</f>
        <v>946.36999999999989</v>
      </c>
      <c r="I138" s="1" t="str">
        <f t="shared" ref="I138" si="33">IF(SUM(H138)&gt;0.49,"*","")</f>
        <v>*</v>
      </c>
      <c r="J138" s="1"/>
      <c r="K138" s="8"/>
      <c r="L138" s="1"/>
      <c r="M138" s="85">
        <f t="shared" si="11"/>
        <v>946.36999999999989</v>
      </c>
      <c r="N138" s="85">
        <f t="shared" si="11"/>
        <v>0</v>
      </c>
      <c r="O138" s="85">
        <f t="shared" si="11"/>
        <v>0</v>
      </c>
      <c r="P138" s="85">
        <f t="shared" si="11"/>
        <v>0</v>
      </c>
    </row>
    <row r="139" spans="1:16">
      <c r="A139" s="19"/>
      <c r="B139" s="112">
        <f>'Expense Input'!B23</f>
        <v>493</v>
      </c>
      <c r="C139" s="112">
        <f>'Expense Input'!C23</f>
        <v>4000</v>
      </c>
      <c r="D139" s="112">
        <f>'Expense Input'!D23</f>
        <v>6500</v>
      </c>
      <c r="E139" s="112">
        <f>'Expense Input'!E23</f>
        <v>310</v>
      </c>
      <c r="F139" s="32"/>
      <c r="G139" s="32" t="str">
        <f>'Expense Input'!F23</f>
        <v>Technology Support &amp; Service</v>
      </c>
      <c r="H139" s="58">
        <f>+'Expense Input'!M23</f>
        <v>10700</v>
      </c>
      <c r="I139" s="1" t="str">
        <f t="shared" ref="I139:I147" si="34">IF(SUM(H139)&gt;0.49,"*","")</f>
        <v>*</v>
      </c>
      <c r="K139" s="8"/>
      <c r="M139" s="85">
        <f t="shared" si="11"/>
        <v>0</v>
      </c>
      <c r="N139" s="85">
        <f t="shared" si="11"/>
        <v>0</v>
      </c>
      <c r="O139" s="85">
        <f t="shared" si="11"/>
        <v>10700</v>
      </c>
      <c r="P139" s="85">
        <f t="shared" si="11"/>
        <v>0</v>
      </c>
    </row>
    <row r="140" spans="1:16" hidden="1">
      <c r="A140" s="19"/>
      <c r="B140" s="25"/>
      <c r="C140" s="25"/>
      <c r="D140" s="25"/>
      <c r="E140" s="25"/>
      <c r="F140" s="25"/>
      <c r="G140" s="25"/>
      <c r="H140" s="24"/>
      <c r="I140" s="1" t="str">
        <f t="shared" si="34"/>
        <v/>
      </c>
      <c r="M140" s="85">
        <f t="shared" si="11"/>
        <v>0</v>
      </c>
      <c r="N140" s="85">
        <f t="shared" si="11"/>
        <v>0</v>
      </c>
      <c r="O140" s="85">
        <f t="shared" si="11"/>
        <v>0</v>
      </c>
      <c r="P140" s="85">
        <f t="shared" si="11"/>
        <v>0</v>
      </c>
    </row>
    <row r="141" spans="1:16" hidden="1">
      <c r="A141" s="19"/>
      <c r="B141" s="25"/>
      <c r="C141" s="25"/>
      <c r="D141" s="25"/>
      <c r="E141" s="25"/>
      <c r="F141" s="25"/>
      <c r="G141" s="25"/>
      <c r="H141" s="24"/>
      <c r="I141" s="1" t="str">
        <f t="shared" si="34"/>
        <v/>
      </c>
      <c r="M141" s="85">
        <f t="shared" si="11"/>
        <v>0</v>
      </c>
      <c r="N141" s="85">
        <f t="shared" si="11"/>
        <v>0</v>
      </c>
      <c r="O141" s="85">
        <f t="shared" si="11"/>
        <v>0</v>
      </c>
      <c r="P141" s="85">
        <f t="shared" si="11"/>
        <v>0</v>
      </c>
    </row>
    <row r="142" spans="1:16" hidden="1">
      <c r="A142" s="19"/>
      <c r="B142" s="25"/>
      <c r="C142" s="25"/>
      <c r="D142" s="25"/>
      <c r="E142" s="25"/>
      <c r="F142" s="25"/>
      <c r="G142" s="25"/>
      <c r="H142" s="24"/>
      <c r="I142" s="1" t="str">
        <f t="shared" si="34"/>
        <v/>
      </c>
      <c r="M142" s="85">
        <f t="shared" si="11"/>
        <v>0</v>
      </c>
      <c r="N142" s="85">
        <f t="shared" si="11"/>
        <v>0</v>
      </c>
      <c r="O142" s="85">
        <f t="shared" si="11"/>
        <v>0</v>
      </c>
      <c r="P142" s="85">
        <f t="shared" ref="P142:P146" si="35">IF($B142=P$14,$H142,0)</f>
        <v>0</v>
      </c>
    </row>
    <row r="143" spans="1:16" hidden="1">
      <c r="A143" s="19"/>
      <c r="B143" s="25"/>
      <c r="C143" s="25"/>
      <c r="D143" s="25"/>
      <c r="E143" s="25"/>
      <c r="F143" s="25"/>
      <c r="G143" s="25"/>
      <c r="H143" s="24"/>
      <c r="I143" s="1" t="str">
        <f t="shared" si="34"/>
        <v/>
      </c>
      <c r="M143" s="85">
        <f t="shared" si="11"/>
        <v>0</v>
      </c>
      <c r="N143" s="85">
        <f t="shared" si="11"/>
        <v>0</v>
      </c>
      <c r="O143" s="85">
        <f t="shared" si="11"/>
        <v>0</v>
      </c>
      <c r="P143" s="85">
        <f t="shared" si="35"/>
        <v>0</v>
      </c>
    </row>
    <row r="144" spans="1:16" hidden="1">
      <c r="A144" s="19"/>
      <c r="B144" s="25"/>
      <c r="C144" s="25"/>
      <c r="D144" s="25"/>
      <c r="E144" s="25"/>
      <c r="F144" s="25"/>
      <c r="G144" s="25"/>
      <c r="H144" s="24"/>
      <c r="I144" s="1" t="str">
        <f t="shared" si="34"/>
        <v/>
      </c>
      <c r="M144" s="85">
        <f t="shared" si="11"/>
        <v>0</v>
      </c>
      <c r="N144" s="85">
        <f t="shared" si="11"/>
        <v>0</v>
      </c>
      <c r="O144" s="85">
        <f t="shared" si="11"/>
        <v>0</v>
      </c>
      <c r="P144" s="85">
        <f t="shared" si="35"/>
        <v>0</v>
      </c>
    </row>
    <row r="145" spans="1:17" hidden="1">
      <c r="A145" s="19"/>
      <c r="B145" s="25"/>
      <c r="C145" s="25"/>
      <c r="D145" s="25"/>
      <c r="E145" s="25"/>
      <c r="F145" s="25"/>
      <c r="G145" s="25"/>
      <c r="H145" s="24"/>
      <c r="I145" s="1" t="str">
        <f t="shared" si="34"/>
        <v/>
      </c>
      <c r="M145" s="85">
        <f t="shared" si="11"/>
        <v>0</v>
      </c>
      <c r="N145" s="85">
        <f t="shared" si="11"/>
        <v>0</v>
      </c>
      <c r="O145" s="85">
        <f t="shared" si="11"/>
        <v>0</v>
      </c>
      <c r="P145" s="85">
        <f t="shared" si="35"/>
        <v>0</v>
      </c>
    </row>
    <row r="146" spans="1:17" hidden="1">
      <c r="A146" s="19"/>
      <c r="B146" s="25"/>
      <c r="C146" s="25"/>
      <c r="D146" s="25"/>
      <c r="E146" s="25"/>
      <c r="F146" s="25"/>
      <c r="G146" s="25"/>
      <c r="H146" s="24"/>
      <c r="I146" s="1" t="str">
        <f t="shared" si="34"/>
        <v/>
      </c>
      <c r="M146" s="85">
        <f t="shared" si="11"/>
        <v>0</v>
      </c>
      <c r="N146" s="85">
        <f t="shared" si="11"/>
        <v>0</v>
      </c>
      <c r="O146" s="85">
        <f t="shared" si="11"/>
        <v>0</v>
      </c>
      <c r="P146" s="85">
        <f t="shared" si="35"/>
        <v>0</v>
      </c>
    </row>
    <row r="147" spans="1:17" hidden="1">
      <c r="A147" s="19"/>
      <c r="B147" s="25"/>
      <c r="C147" s="25"/>
      <c r="D147" s="25"/>
      <c r="E147" s="25"/>
      <c r="F147" s="25"/>
      <c r="G147" s="25"/>
      <c r="H147" s="24"/>
      <c r="I147" s="1" t="str">
        <f t="shared" si="34"/>
        <v/>
      </c>
      <c r="M147" s="85">
        <f t="shared" ref="M147:P178" si="36">IF($B147=M$14,$H147,0)</f>
        <v>0</v>
      </c>
      <c r="N147" s="85">
        <f t="shared" si="36"/>
        <v>0</v>
      </c>
      <c r="O147" s="85">
        <f t="shared" si="36"/>
        <v>0</v>
      </c>
      <c r="P147" s="85">
        <f t="shared" si="36"/>
        <v>0</v>
      </c>
    </row>
    <row r="148" spans="1:17">
      <c r="A148" s="19"/>
      <c r="B148" s="25"/>
      <c r="C148" s="25"/>
      <c r="D148" s="25"/>
      <c r="E148" s="25"/>
      <c r="F148" s="25"/>
      <c r="G148" s="25"/>
      <c r="H148" s="26"/>
      <c r="I148" s="1" t="str">
        <f>IF(I149="*","*","")</f>
        <v>*</v>
      </c>
      <c r="M148" s="85">
        <f t="shared" si="36"/>
        <v>0</v>
      </c>
      <c r="N148" s="85">
        <f t="shared" si="36"/>
        <v>0</v>
      </c>
      <c r="O148" s="85">
        <f t="shared" si="36"/>
        <v>0</v>
      </c>
      <c r="P148" s="85">
        <f t="shared" si="36"/>
        <v>0</v>
      </c>
    </row>
    <row r="149" spans="1:17">
      <c r="A149" s="19"/>
      <c r="B149" s="25"/>
      <c r="C149" s="25"/>
      <c r="D149" s="25"/>
      <c r="E149" s="25"/>
      <c r="G149" s="16" t="s">
        <v>89</v>
      </c>
      <c r="H149" s="23">
        <f t="shared" ref="H149" si="37">SUM(H138:H148)</f>
        <v>11646.369999999999</v>
      </c>
      <c r="I149" s="1" t="str">
        <f>IF(SUM(H149)&gt;0.49,"*","")</f>
        <v>*</v>
      </c>
      <c r="M149" s="85">
        <f t="shared" si="36"/>
        <v>0</v>
      </c>
      <c r="N149" s="85">
        <f t="shared" si="36"/>
        <v>0</v>
      </c>
      <c r="O149" s="85">
        <f t="shared" si="36"/>
        <v>0</v>
      </c>
      <c r="P149" s="85">
        <f t="shared" si="36"/>
        <v>0</v>
      </c>
    </row>
    <row r="150" spans="1:17">
      <c r="A150" s="19"/>
      <c r="B150" s="25"/>
      <c r="C150" s="25"/>
      <c r="D150" s="25"/>
      <c r="E150" s="25"/>
      <c r="G150" s="3"/>
      <c r="I150" s="1" t="str">
        <f>I149</f>
        <v>*</v>
      </c>
      <c r="M150" s="85">
        <f t="shared" si="36"/>
        <v>0</v>
      </c>
      <c r="N150" s="85">
        <f t="shared" si="36"/>
        <v>0</v>
      </c>
      <c r="O150" s="85">
        <f t="shared" si="36"/>
        <v>0</v>
      </c>
      <c r="P150" s="85">
        <f t="shared" si="36"/>
        <v>0</v>
      </c>
    </row>
    <row r="151" spans="1:17" s="64" customFormat="1" hidden="1">
      <c r="A151" s="63"/>
      <c r="B151" s="25"/>
      <c r="C151" s="25"/>
      <c r="D151" s="25"/>
      <c r="E151" s="25"/>
      <c r="F151" s="32"/>
      <c r="G151" s="32"/>
      <c r="H151" s="58"/>
      <c r="I151" s="1" t="str">
        <f t="shared" ref="I151:I158" si="38">IF(SUM(H151)&gt;0.49,"*","")</f>
        <v/>
      </c>
      <c r="J151" s="1"/>
      <c r="K151" s="1"/>
      <c r="L151" s="1"/>
      <c r="M151" s="85">
        <f t="shared" si="36"/>
        <v>0</v>
      </c>
      <c r="N151" s="85">
        <f t="shared" si="36"/>
        <v>0</v>
      </c>
      <c r="O151" s="85">
        <f t="shared" si="36"/>
        <v>0</v>
      </c>
      <c r="P151" s="85">
        <f t="shared" si="36"/>
        <v>0</v>
      </c>
    </row>
    <row r="152" spans="1:17" s="64" customFormat="1" hidden="1">
      <c r="A152" s="63"/>
      <c r="B152" s="25"/>
      <c r="C152" s="25"/>
      <c r="D152" s="25"/>
      <c r="E152" s="25"/>
      <c r="F152" s="32"/>
      <c r="G152" s="32"/>
      <c r="H152" s="58"/>
      <c r="I152" s="1" t="str">
        <f t="shared" si="38"/>
        <v/>
      </c>
      <c r="J152" s="1"/>
      <c r="K152" s="1"/>
      <c r="L152" s="1"/>
      <c r="M152" s="85">
        <f t="shared" si="36"/>
        <v>0</v>
      </c>
      <c r="N152" s="85">
        <f t="shared" si="36"/>
        <v>0</v>
      </c>
      <c r="O152" s="85">
        <f t="shared" si="36"/>
        <v>0</v>
      </c>
      <c r="P152" s="85">
        <f t="shared" si="36"/>
        <v>0</v>
      </c>
    </row>
    <row r="153" spans="1:17" hidden="1">
      <c r="A153" s="19"/>
      <c r="B153" s="25"/>
      <c r="C153" s="25"/>
      <c r="D153" s="25"/>
      <c r="E153" s="25"/>
      <c r="F153" s="32"/>
      <c r="G153" s="32"/>
      <c r="H153" s="58"/>
      <c r="I153" s="1" t="str">
        <f t="shared" si="38"/>
        <v/>
      </c>
      <c r="M153" s="85">
        <f t="shared" si="36"/>
        <v>0</v>
      </c>
      <c r="N153" s="85">
        <f t="shared" si="36"/>
        <v>0</v>
      </c>
      <c r="O153" s="85">
        <f t="shared" si="36"/>
        <v>0</v>
      </c>
      <c r="P153" s="85">
        <f t="shared" si="36"/>
        <v>0</v>
      </c>
    </row>
    <row r="154" spans="1:17">
      <c r="A154" s="19"/>
      <c r="B154" s="25">
        <f>'Expense Input'!B24</f>
        <v>100</v>
      </c>
      <c r="C154" s="25">
        <f>'Expense Input'!C24</f>
        <v>4000</v>
      </c>
      <c r="D154" s="25">
        <f>'Expense Input'!D24</f>
        <v>7100</v>
      </c>
      <c r="E154" s="25">
        <f>'Expense Input'!E24</f>
        <v>310</v>
      </c>
      <c r="F154" s="32"/>
      <c r="G154" s="32" t="str">
        <f>'Expense Input'!F24</f>
        <v>Legal and Audit Expense</v>
      </c>
      <c r="H154" s="58">
        <f>+'Expense Input'!M24</f>
        <v>8482.99</v>
      </c>
      <c r="I154" s="1" t="str">
        <f t="shared" ref="I154" si="39">IF(SUM(H154)&gt;0.49,"*","")</f>
        <v>*</v>
      </c>
      <c r="K154" s="8"/>
      <c r="M154" s="85">
        <f t="shared" si="36"/>
        <v>8482.99</v>
      </c>
      <c r="N154" s="85">
        <f t="shared" si="36"/>
        <v>0</v>
      </c>
      <c r="O154" s="85">
        <f t="shared" si="36"/>
        <v>0</v>
      </c>
      <c r="P154" s="85">
        <f t="shared" si="36"/>
        <v>0</v>
      </c>
    </row>
    <row r="155" spans="1:17" hidden="1">
      <c r="A155" s="19"/>
      <c r="B155" s="25">
        <f>'Expense Input'!B25</f>
        <v>100</v>
      </c>
      <c r="C155" s="25">
        <f>'Expense Input'!C25</f>
        <v>4000</v>
      </c>
      <c r="D155" s="25">
        <f>'Expense Input'!D25</f>
        <v>7100</v>
      </c>
      <c r="E155" s="25">
        <f>'Expense Input'!E25</f>
        <v>320</v>
      </c>
      <c r="F155" s="32"/>
      <c r="G155" s="32" t="str">
        <f>'Expense Input'!F25</f>
        <v>Insurance - General Liability</v>
      </c>
      <c r="H155" s="58">
        <f>+'Expense Input'!M25</f>
        <v>0</v>
      </c>
      <c r="I155" s="1" t="str">
        <f t="shared" si="38"/>
        <v/>
      </c>
      <c r="K155" s="8"/>
      <c r="M155" s="85">
        <f t="shared" si="36"/>
        <v>0</v>
      </c>
      <c r="N155" s="85">
        <f t="shared" si="36"/>
        <v>0</v>
      </c>
      <c r="O155" s="85">
        <f t="shared" si="36"/>
        <v>0</v>
      </c>
      <c r="P155" s="85">
        <f t="shared" si="36"/>
        <v>0</v>
      </c>
    </row>
    <row r="156" spans="1:17">
      <c r="A156" s="19"/>
      <c r="B156" s="25">
        <f>'Expense Input'!B26</f>
        <v>100</v>
      </c>
      <c r="C156" s="25">
        <f>'Expense Input'!C26</f>
        <v>4000</v>
      </c>
      <c r="D156" s="25">
        <f>'Expense Input'!D26</f>
        <v>7100</v>
      </c>
      <c r="E156" s="25">
        <f>'Expense Input'!E26</f>
        <v>330</v>
      </c>
      <c r="F156" s="32"/>
      <c r="G156" s="32" t="str">
        <f>'Expense Input'!F26</f>
        <v>Travel / Conferences / Workshops</v>
      </c>
      <c r="H156" s="58">
        <f>+'Expense Input'!M26</f>
        <v>2087.67</v>
      </c>
      <c r="I156" s="1" t="str">
        <f t="shared" ref="I156" si="40">IF(SUM(H156)&gt;0.49,"*","")</f>
        <v>*</v>
      </c>
      <c r="M156" s="85">
        <f t="shared" si="36"/>
        <v>2087.67</v>
      </c>
      <c r="N156" s="85">
        <f t="shared" si="36"/>
        <v>0</v>
      </c>
      <c r="O156" s="85">
        <f t="shared" si="36"/>
        <v>0</v>
      </c>
      <c r="P156" s="85">
        <f t="shared" si="36"/>
        <v>0</v>
      </c>
    </row>
    <row r="157" spans="1:17">
      <c r="A157" s="19"/>
      <c r="B157" s="25">
        <f>'Expense Input'!B27</f>
        <v>100</v>
      </c>
      <c r="C157" s="25">
        <f>'Expense Input'!C27</f>
        <v>4000</v>
      </c>
      <c r="D157" s="25">
        <f>'Expense Input'!D27</f>
        <v>7100</v>
      </c>
      <c r="E157" s="25">
        <f>'Expense Input'!E27</f>
        <v>730</v>
      </c>
      <c r="F157" s="32"/>
      <c r="G157" s="32" t="str">
        <f>'Expense Input'!F27</f>
        <v>Dues and Fees</v>
      </c>
      <c r="H157" s="58">
        <f>+'Expense Input'!M27</f>
        <v>15070.210000000001</v>
      </c>
      <c r="I157" s="1" t="str">
        <f t="shared" si="38"/>
        <v>*</v>
      </c>
      <c r="M157" s="85">
        <f t="shared" si="36"/>
        <v>15070.210000000001</v>
      </c>
      <c r="N157" s="85">
        <f t="shared" si="36"/>
        <v>0</v>
      </c>
      <c r="O157" s="85">
        <f t="shared" si="36"/>
        <v>0</v>
      </c>
      <c r="P157" s="85">
        <f t="shared" si="36"/>
        <v>0</v>
      </c>
    </row>
    <row r="158" spans="1:17" s="64" customFormat="1">
      <c r="A158" s="63"/>
      <c r="B158" s="25">
        <f>'Expense Input'!B28</f>
        <v>100</v>
      </c>
      <c r="C158" s="25">
        <f>'Expense Input'!C28</f>
        <v>4000</v>
      </c>
      <c r="D158" s="25">
        <f>'Expense Input'!D28</f>
        <v>7100</v>
      </c>
      <c r="E158" s="25">
        <f>'Expense Input'!E28</f>
        <v>790</v>
      </c>
      <c r="F158" s="32"/>
      <c r="G158" s="32" t="str">
        <f>'Expense Input'!F28</f>
        <v>District Admin Fees</v>
      </c>
      <c r="H158" s="58">
        <f>+'Expense Input'!M28</f>
        <v>21121</v>
      </c>
      <c r="I158" s="1" t="str">
        <f t="shared" si="38"/>
        <v>*</v>
      </c>
      <c r="J158" s="1"/>
      <c r="K158" s="1"/>
      <c r="L158" s="1"/>
      <c r="M158" s="85">
        <f t="shared" si="36"/>
        <v>21121</v>
      </c>
      <c r="N158" s="85">
        <f t="shared" si="36"/>
        <v>0</v>
      </c>
      <c r="O158" s="85">
        <f t="shared" si="36"/>
        <v>0</v>
      </c>
      <c r="P158" s="85">
        <f t="shared" si="36"/>
        <v>0</v>
      </c>
      <c r="Q158" s="65"/>
    </row>
    <row r="159" spans="1:17">
      <c r="A159" s="19"/>
      <c r="B159" s="25">
        <f>'Expense Input'!B29</f>
        <v>100</v>
      </c>
      <c r="C159" s="25">
        <f>'Expense Input'!C29</f>
        <v>4000</v>
      </c>
      <c r="D159" s="25">
        <f>'Expense Input'!D29</f>
        <v>7100</v>
      </c>
      <c r="E159" s="25">
        <f>'Expense Input'!E29</f>
        <v>795</v>
      </c>
      <c r="F159" s="32"/>
      <c r="G159" s="32" t="str">
        <f>'Expense Input'!F29</f>
        <v>Bank Charges</v>
      </c>
      <c r="H159" s="58">
        <f>+'Expense Input'!M29</f>
        <v>65.650000000000006</v>
      </c>
      <c r="I159" s="1" t="str">
        <f t="shared" ref="I159:I168" si="41">IF(SUM(H159)&gt;0.49,"*","")</f>
        <v>*</v>
      </c>
      <c r="M159" s="85">
        <f t="shared" si="36"/>
        <v>65.650000000000006</v>
      </c>
      <c r="N159" s="85">
        <f t="shared" si="36"/>
        <v>0</v>
      </c>
      <c r="O159" s="85">
        <f t="shared" si="36"/>
        <v>0</v>
      </c>
      <c r="P159" s="85">
        <f t="shared" si="36"/>
        <v>0</v>
      </c>
    </row>
    <row r="160" spans="1:17" hidden="1">
      <c r="A160" s="19"/>
      <c r="B160" s="25"/>
      <c r="C160" s="25"/>
      <c r="D160" s="25"/>
      <c r="E160" s="25"/>
      <c r="F160" s="32"/>
      <c r="G160" s="32"/>
      <c r="H160" s="58"/>
      <c r="I160" s="1" t="str">
        <f t="shared" si="41"/>
        <v/>
      </c>
      <c r="M160" s="85">
        <f t="shared" si="36"/>
        <v>0</v>
      </c>
      <c r="N160" s="85">
        <f t="shared" si="36"/>
        <v>0</v>
      </c>
      <c r="O160" s="85">
        <f t="shared" si="36"/>
        <v>0</v>
      </c>
      <c r="P160" s="85">
        <f t="shared" si="36"/>
        <v>0</v>
      </c>
    </row>
    <row r="161" spans="1:17" s="64" customFormat="1" hidden="1">
      <c r="A161" s="63"/>
      <c r="B161" s="25"/>
      <c r="C161" s="25"/>
      <c r="D161" s="25"/>
      <c r="E161" s="25"/>
      <c r="F161" s="32"/>
      <c r="G161" s="32"/>
      <c r="H161" s="58"/>
      <c r="I161" s="1" t="str">
        <f t="shared" si="41"/>
        <v/>
      </c>
      <c r="J161" s="1"/>
      <c r="K161" s="1"/>
      <c r="L161" s="1"/>
      <c r="M161" s="85">
        <f t="shared" si="36"/>
        <v>0</v>
      </c>
      <c r="N161" s="85">
        <f t="shared" si="36"/>
        <v>0</v>
      </c>
      <c r="O161" s="85">
        <f t="shared" si="36"/>
        <v>0</v>
      </c>
      <c r="P161" s="85">
        <f t="shared" si="36"/>
        <v>0</v>
      </c>
      <c r="Q161" s="65"/>
    </row>
    <row r="162" spans="1:17" hidden="1">
      <c r="A162" s="19"/>
      <c r="B162" s="25"/>
      <c r="C162" s="25"/>
      <c r="D162" s="25"/>
      <c r="E162" s="25"/>
      <c r="F162" s="32"/>
      <c r="G162" s="32"/>
      <c r="H162" s="58"/>
      <c r="I162" s="1" t="str">
        <f t="shared" si="41"/>
        <v/>
      </c>
      <c r="M162" s="85">
        <f t="shared" si="36"/>
        <v>0</v>
      </c>
      <c r="N162" s="85">
        <f t="shared" si="36"/>
        <v>0</v>
      </c>
      <c r="O162" s="85">
        <f t="shared" si="36"/>
        <v>0</v>
      </c>
      <c r="P162" s="85">
        <f t="shared" si="36"/>
        <v>0</v>
      </c>
    </row>
    <row r="163" spans="1:17" hidden="1">
      <c r="A163" s="19"/>
      <c r="B163" s="25"/>
      <c r="C163" s="25"/>
      <c r="D163" s="25"/>
      <c r="E163" s="25"/>
      <c r="F163" s="32"/>
      <c r="G163" s="32"/>
      <c r="H163" s="58"/>
      <c r="I163" s="1" t="str">
        <f t="shared" si="41"/>
        <v/>
      </c>
      <c r="M163" s="85">
        <f t="shared" si="36"/>
        <v>0</v>
      </c>
      <c r="N163" s="85">
        <f t="shared" si="36"/>
        <v>0</v>
      </c>
      <c r="O163" s="85">
        <f t="shared" si="36"/>
        <v>0</v>
      </c>
      <c r="P163" s="85">
        <f t="shared" si="36"/>
        <v>0</v>
      </c>
    </row>
    <row r="164" spans="1:17" hidden="1">
      <c r="A164" s="19"/>
      <c r="B164" s="25"/>
      <c r="C164" s="25"/>
      <c r="D164" s="25"/>
      <c r="E164" s="25"/>
      <c r="F164" s="25"/>
      <c r="G164" s="25"/>
      <c r="H164" s="24"/>
      <c r="I164" s="1" t="str">
        <f t="shared" si="41"/>
        <v/>
      </c>
      <c r="M164" s="85">
        <f t="shared" si="36"/>
        <v>0</v>
      </c>
      <c r="N164" s="85">
        <f t="shared" si="36"/>
        <v>0</v>
      </c>
      <c r="O164" s="85">
        <f t="shared" si="36"/>
        <v>0</v>
      </c>
      <c r="P164" s="85">
        <f t="shared" si="36"/>
        <v>0</v>
      </c>
    </row>
    <row r="165" spans="1:17" hidden="1">
      <c r="A165" s="19"/>
      <c r="B165" s="25"/>
      <c r="C165" s="25"/>
      <c r="D165" s="25"/>
      <c r="E165" s="25"/>
      <c r="F165" s="25"/>
      <c r="G165" s="25"/>
      <c r="H165" s="24"/>
      <c r="I165" s="1" t="str">
        <f t="shared" si="41"/>
        <v/>
      </c>
      <c r="M165" s="85">
        <f t="shared" si="36"/>
        <v>0</v>
      </c>
      <c r="N165" s="85">
        <f t="shared" si="36"/>
        <v>0</v>
      </c>
      <c r="O165" s="85">
        <f t="shared" si="36"/>
        <v>0</v>
      </c>
      <c r="P165" s="85">
        <f t="shared" si="36"/>
        <v>0</v>
      </c>
    </row>
    <row r="166" spans="1:17" hidden="1">
      <c r="A166" s="19"/>
      <c r="B166" s="25"/>
      <c r="C166" s="25"/>
      <c r="D166" s="25"/>
      <c r="E166" s="25"/>
      <c r="F166" s="25"/>
      <c r="G166" s="25"/>
      <c r="H166" s="24"/>
      <c r="I166" s="1" t="str">
        <f t="shared" si="41"/>
        <v/>
      </c>
      <c r="M166" s="85">
        <f t="shared" si="36"/>
        <v>0</v>
      </c>
      <c r="N166" s="85">
        <f t="shared" si="36"/>
        <v>0</v>
      </c>
      <c r="O166" s="85">
        <f t="shared" si="36"/>
        <v>0</v>
      </c>
      <c r="P166" s="85">
        <f t="shared" si="36"/>
        <v>0</v>
      </c>
    </row>
    <row r="167" spans="1:17" hidden="1">
      <c r="A167" s="19"/>
      <c r="B167" s="25"/>
      <c r="C167" s="25"/>
      <c r="D167" s="25"/>
      <c r="E167" s="25"/>
      <c r="F167" s="25"/>
      <c r="G167" s="25"/>
      <c r="H167" s="24"/>
      <c r="I167" s="1" t="str">
        <f t="shared" si="41"/>
        <v/>
      </c>
      <c r="M167" s="85">
        <f t="shared" si="36"/>
        <v>0</v>
      </c>
      <c r="N167" s="85">
        <f t="shared" si="36"/>
        <v>0</v>
      </c>
      <c r="O167" s="85">
        <f t="shared" si="36"/>
        <v>0</v>
      </c>
      <c r="P167" s="85">
        <f t="shared" si="36"/>
        <v>0</v>
      </c>
    </row>
    <row r="168" spans="1:17" hidden="1">
      <c r="A168" s="19"/>
      <c r="B168" s="25"/>
      <c r="C168" s="25"/>
      <c r="D168" s="25"/>
      <c r="E168" s="25"/>
      <c r="F168" s="25"/>
      <c r="G168" s="25"/>
      <c r="H168" s="24"/>
      <c r="I168" s="1" t="str">
        <f t="shared" si="41"/>
        <v/>
      </c>
      <c r="M168" s="85">
        <f t="shared" si="36"/>
        <v>0</v>
      </c>
      <c r="N168" s="85">
        <f t="shared" si="36"/>
        <v>0</v>
      </c>
      <c r="O168" s="85">
        <f t="shared" si="36"/>
        <v>0</v>
      </c>
      <c r="P168" s="85">
        <f t="shared" si="36"/>
        <v>0</v>
      </c>
    </row>
    <row r="169" spans="1:17">
      <c r="A169" s="19"/>
      <c r="B169" s="25"/>
      <c r="C169" s="25"/>
      <c r="D169" s="25"/>
      <c r="E169" s="25"/>
      <c r="F169" s="25"/>
      <c r="G169" s="25"/>
      <c r="H169" s="26"/>
      <c r="I169" s="1" t="str">
        <f>IF(I170="*","*","")</f>
        <v>*</v>
      </c>
      <c r="M169" s="85">
        <f t="shared" si="36"/>
        <v>0</v>
      </c>
      <c r="N169" s="85">
        <f t="shared" si="36"/>
        <v>0</v>
      </c>
      <c r="O169" s="85">
        <f t="shared" si="36"/>
        <v>0</v>
      </c>
      <c r="P169" s="85">
        <f t="shared" si="36"/>
        <v>0</v>
      </c>
    </row>
    <row r="170" spans="1:17">
      <c r="A170" s="19"/>
      <c r="B170" s="25"/>
      <c r="C170" s="25"/>
      <c r="D170" s="25"/>
      <c r="E170" s="25"/>
      <c r="G170" s="16" t="s">
        <v>90</v>
      </c>
      <c r="H170" s="23">
        <f>SUM(H152:H169)</f>
        <v>46827.520000000004</v>
      </c>
      <c r="I170" s="1" t="str">
        <f>IF(SUM(H170)&gt;0.49,"*","")</f>
        <v>*</v>
      </c>
      <c r="M170" s="85">
        <f t="shared" si="36"/>
        <v>0</v>
      </c>
      <c r="N170" s="85">
        <f t="shared" si="36"/>
        <v>0</v>
      </c>
      <c r="O170" s="85">
        <f t="shared" si="36"/>
        <v>0</v>
      </c>
      <c r="P170" s="85">
        <f t="shared" si="36"/>
        <v>0</v>
      </c>
    </row>
    <row r="171" spans="1:17">
      <c r="A171" s="19"/>
      <c r="B171" s="25"/>
      <c r="C171" s="25"/>
      <c r="D171" s="25"/>
      <c r="E171" s="25"/>
      <c r="F171" s="13"/>
      <c r="G171" s="12"/>
      <c r="I171" s="1" t="str">
        <f>IF(I170="*","*","")</f>
        <v>*</v>
      </c>
      <c r="M171" s="85">
        <f t="shared" si="36"/>
        <v>0</v>
      </c>
      <c r="N171" s="85">
        <f t="shared" si="36"/>
        <v>0</v>
      </c>
      <c r="O171" s="85">
        <f t="shared" si="36"/>
        <v>0</v>
      </c>
      <c r="P171" s="85">
        <f t="shared" si="36"/>
        <v>0</v>
      </c>
    </row>
    <row r="172" spans="1:17" hidden="1">
      <c r="A172" s="19">
        <v>1</v>
      </c>
      <c r="B172" s="25">
        <v>100</v>
      </c>
      <c r="C172" s="25">
        <v>4000</v>
      </c>
      <c r="D172" s="25">
        <v>7300</v>
      </c>
      <c r="E172" s="25">
        <v>110</v>
      </c>
      <c r="F172" s="25"/>
      <c r="G172" s="25" t="s">
        <v>123</v>
      </c>
      <c r="H172" s="58">
        <f>+Payroll!F75</f>
        <v>0</v>
      </c>
      <c r="I172" s="1" t="str">
        <f t="shared" ref="I172:I180" si="42">IF(SUM(H172)&gt;0.49,"*","")</f>
        <v/>
      </c>
      <c r="K172" s="8">
        <f>SUM(H172:H178)</f>
        <v>21900.572720000004</v>
      </c>
      <c r="M172" s="85">
        <f t="shared" si="36"/>
        <v>0</v>
      </c>
      <c r="N172" s="85">
        <f t="shared" si="36"/>
        <v>0</v>
      </c>
      <c r="O172" s="85">
        <f t="shared" si="36"/>
        <v>0</v>
      </c>
      <c r="P172" s="85">
        <f t="shared" si="36"/>
        <v>0</v>
      </c>
    </row>
    <row r="173" spans="1:17">
      <c r="A173" s="19">
        <v>1</v>
      </c>
      <c r="B173" s="25">
        <v>100</v>
      </c>
      <c r="C173" s="25">
        <v>4000</v>
      </c>
      <c r="D173" s="25">
        <v>7300</v>
      </c>
      <c r="E173" s="25">
        <v>160</v>
      </c>
      <c r="F173" s="25"/>
      <c r="G173" s="25" t="s">
        <v>7</v>
      </c>
      <c r="H173" s="58">
        <f>+Payroll!F82</f>
        <v>18384.480000000003</v>
      </c>
      <c r="I173" s="1" t="str">
        <f t="shared" si="42"/>
        <v>*</v>
      </c>
      <c r="K173" s="86">
        <f>Payroll!N75+Payroll!N82</f>
        <v>21900.57272</v>
      </c>
      <c r="M173" s="85">
        <f t="shared" si="36"/>
        <v>18384.480000000003</v>
      </c>
      <c r="N173" s="85">
        <f t="shared" si="36"/>
        <v>0</v>
      </c>
      <c r="O173" s="85">
        <f t="shared" si="36"/>
        <v>0</v>
      </c>
      <c r="P173" s="85">
        <f t="shared" si="36"/>
        <v>0</v>
      </c>
    </row>
    <row r="174" spans="1:17">
      <c r="A174" s="19">
        <v>1</v>
      </c>
      <c r="B174" s="25">
        <v>100</v>
      </c>
      <c r="C174" s="25">
        <v>4000</v>
      </c>
      <c r="D174" s="25">
        <v>7300</v>
      </c>
      <c r="E174" s="25">
        <v>210</v>
      </c>
      <c r="F174" s="25"/>
      <c r="G174" s="25" t="s">
        <v>48</v>
      </c>
      <c r="H174" s="58">
        <f>+(Payroll!G75+Payroll!G82)</f>
        <v>1838.4480000000003</v>
      </c>
      <c r="I174" s="1" t="str">
        <f t="shared" si="42"/>
        <v>*</v>
      </c>
      <c r="M174" s="85">
        <f t="shared" si="36"/>
        <v>1838.4480000000003</v>
      </c>
      <c r="N174" s="85">
        <f t="shared" si="36"/>
        <v>0</v>
      </c>
      <c r="O174" s="85">
        <f t="shared" si="36"/>
        <v>0</v>
      </c>
      <c r="P174" s="85">
        <f t="shared" si="36"/>
        <v>0</v>
      </c>
    </row>
    <row r="175" spans="1:17">
      <c r="A175" s="19">
        <v>1</v>
      </c>
      <c r="B175" s="25">
        <v>100</v>
      </c>
      <c r="C175" s="25">
        <v>4000</v>
      </c>
      <c r="D175" s="25">
        <v>7300</v>
      </c>
      <c r="E175" s="25">
        <v>220</v>
      </c>
      <c r="F175" s="25"/>
      <c r="G175" s="25" t="s">
        <v>49</v>
      </c>
      <c r="H175" s="58">
        <f>+Payroll!I75+Payroll!I82</f>
        <v>1406.41272</v>
      </c>
      <c r="I175" s="1" t="str">
        <f t="shared" si="42"/>
        <v>*</v>
      </c>
      <c r="M175" s="85">
        <f t="shared" si="36"/>
        <v>1406.41272</v>
      </c>
      <c r="N175" s="85">
        <f t="shared" si="36"/>
        <v>0</v>
      </c>
      <c r="O175" s="85">
        <f t="shared" si="36"/>
        <v>0</v>
      </c>
      <c r="P175" s="85">
        <f t="shared" si="36"/>
        <v>0</v>
      </c>
    </row>
    <row r="176" spans="1:17" hidden="1">
      <c r="A176" s="19">
        <v>1</v>
      </c>
      <c r="B176" s="25">
        <v>100</v>
      </c>
      <c r="C176" s="25">
        <v>4000</v>
      </c>
      <c r="D176" s="25">
        <v>7300</v>
      </c>
      <c r="E176" s="25">
        <v>230</v>
      </c>
      <c r="F176" s="25"/>
      <c r="G176" s="25" t="s">
        <v>50</v>
      </c>
      <c r="H176" s="58">
        <f>+Payroll!J75+Payroll!J82</f>
        <v>0</v>
      </c>
      <c r="I176" s="1" t="str">
        <f t="shared" si="42"/>
        <v/>
      </c>
      <c r="M176" s="85">
        <f t="shared" si="36"/>
        <v>0</v>
      </c>
      <c r="N176" s="85">
        <f t="shared" si="36"/>
        <v>0</v>
      </c>
      <c r="O176" s="85">
        <f t="shared" si="36"/>
        <v>0</v>
      </c>
      <c r="P176" s="85">
        <f t="shared" si="36"/>
        <v>0</v>
      </c>
    </row>
    <row r="177" spans="1:17">
      <c r="A177" s="19">
        <v>1</v>
      </c>
      <c r="B177" s="25">
        <v>100</v>
      </c>
      <c r="C177" s="25">
        <v>4000</v>
      </c>
      <c r="D177" s="25">
        <v>7300</v>
      </c>
      <c r="E177" s="25">
        <v>240</v>
      </c>
      <c r="F177" s="25"/>
      <c r="G177" s="25" t="s">
        <v>51</v>
      </c>
      <c r="H177" s="58">
        <f>+Payroll!L75+Payroll!L82</f>
        <v>183.84480000000002</v>
      </c>
      <c r="I177" s="1" t="str">
        <f t="shared" si="42"/>
        <v>*</v>
      </c>
      <c r="M177" s="85">
        <f t="shared" si="36"/>
        <v>183.84480000000002</v>
      </c>
      <c r="N177" s="85">
        <f t="shared" si="36"/>
        <v>0</v>
      </c>
      <c r="O177" s="85">
        <f t="shared" si="36"/>
        <v>0</v>
      </c>
      <c r="P177" s="85">
        <f t="shared" si="36"/>
        <v>0</v>
      </c>
      <c r="Q177" s="8"/>
    </row>
    <row r="178" spans="1:17">
      <c r="A178" s="19">
        <v>1</v>
      </c>
      <c r="B178" s="25">
        <v>100</v>
      </c>
      <c r="C178" s="25">
        <v>4000</v>
      </c>
      <c r="D178" s="25">
        <v>7300</v>
      </c>
      <c r="E178" s="25">
        <v>250</v>
      </c>
      <c r="F178" s="25"/>
      <c r="G178" s="25" t="s">
        <v>52</v>
      </c>
      <c r="H178" s="58">
        <f>+Payroll!M75+Payroll!M82</f>
        <v>87.387200000000007</v>
      </c>
      <c r="I178" s="1" t="str">
        <f t="shared" si="42"/>
        <v>*</v>
      </c>
      <c r="M178" s="85">
        <f t="shared" si="36"/>
        <v>87.387200000000007</v>
      </c>
      <c r="N178" s="85">
        <f t="shared" si="36"/>
        <v>0</v>
      </c>
      <c r="O178" s="85">
        <f t="shared" si="36"/>
        <v>0</v>
      </c>
      <c r="P178" s="85">
        <f t="shared" si="36"/>
        <v>0</v>
      </c>
    </row>
    <row r="179" spans="1:17" hidden="1">
      <c r="A179" s="19"/>
      <c r="B179" s="25"/>
      <c r="C179" s="25"/>
      <c r="D179" s="25"/>
      <c r="E179" s="25"/>
      <c r="F179" s="25"/>
      <c r="G179" s="25"/>
      <c r="H179" s="58"/>
      <c r="I179" s="1" t="str">
        <f t="shared" si="42"/>
        <v/>
      </c>
      <c r="M179" s="85">
        <f t="shared" ref="M179:P208" si="43">IF($B179=M$14,$H179,0)</f>
        <v>0</v>
      </c>
      <c r="N179" s="85">
        <f t="shared" si="43"/>
        <v>0</v>
      </c>
      <c r="O179" s="85">
        <f t="shared" si="43"/>
        <v>0</v>
      </c>
      <c r="P179" s="85">
        <f t="shared" si="43"/>
        <v>0</v>
      </c>
    </row>
    <row r="180" spans="1:17" hidden="1">
      <c r="A180" s="19"/>
      <c r="B180" s="25"/>
      <c r="C180" s="25"/>
      <c r="D180" s="25"/>
      <c r="E180" s="25"/>
      <c r="F180" s="25"/>
      <c r="G180" s="25"/>
      <c r="H180" s="58"/>
      <c r="I180" s="1" t="str">
        <f t="shared" si="42"/>
        <v/>
      </c>
      <c r="M180" s="85">
        <f t="shared" si="43"/>
        <v>0</v>
      </c>
      <c r="N180" s="85">
        <f t="shared" si="43"/>
        <v>0</v>
      </c>
      <c r="O180" s="85">
        <f t="shared" si="43"/>
        <v>0</v>
      </c>
      <c r="P180" s="85">
        <f t="shared" si="43"/>
        <v>0</v>
      </c>
    </row>
    <row r="181" spans="1:17">
      <c r="A181" s="19"/>
      <c r="B181" s="25">
        <f>'Expense Input'!B30</f>
        <v>100</v>
      </c>
      <c r="C181" s="25">
        <f>'Expense Input'!C30</f>
        <v>4000</v>
      </c>
      <c r="D181" s="25">
        <f>'Expense Input'!D30</f>
        <v>7300</v>
      </c>
      <c r="E181" s="25">
        <f>'Expense Input'!E30</f>
        <v>330</v>
      </c>
      <c r="F181" s="25"/>
      <c r="G181" s="25" t="str">
        <f>'Expense Input'!F30</f>
        <v>Travel / Conferences / Workshops</v>
      </c>
      <c r="H181" s="58">
        <f>+'Expense Input'!M30</f>
        <v>4554.09</v>
      </c>
      <c r="I181" s="1" t="str">
        <f>IF(SUM(H181)&gt;0.49,"*","")</f>
        <v>*</v>
      </c>
      <c r="K181" s="8"/>
      <c r="M181" s="85">
        <f t="shared" si="43"/>
        <v>4554.09</v>
      </c>
      <c r="N181" s="85">
        <f t="shared" si="43"/>
        <v>0</v>
      </c>
      <c r="O181" s="85">
        <f t="shared" si="43"/>
        <v>0</v>
      </c>
      <c r="P181" s="85">
        <f t="shared" si="43"/>
        <v>0</v>
      </c>
    </row>
    <row r="182" spans="1:17">
      <c r="A182" s="19"/>
      <c r="B182" s="25">
        <f>'Expense Input'!B31</f>
        <v>100</v>
      </c>
      <c r="C182" s="25">
        <f>'Expense Input'!C31</f>
        <v>4000</v>
      </c>
      <c r="D182" s="25">
        <f>'Expense Input'!D31</f>
        <v>7300</v>
      </c>
      <c r="E182" s="25">
        <f>'Expense Input'!E31</f>
        <v>370</v>
      </c>
      <c r="F182" s="25"/>
      <c r="G182" s="25" t="str">
        <f>'Expense Input'!F31</f>
        <v>Postage</v>
      </c>
      <c r="H182" s="58">
        <f>+'Expense Input'!M31</f>
        <v>848.4</v>
      </c>
      <c r="I182" s="1" t="str">
        <f t="shared" ref="I182:I191" si="44">IF(SUM(H182)&gt;0.49,"*","")</f>
        <v>*</v>
      </c>
      <c r="K182" s="8"/>
      <c r="M182" s="85">
        <f t="shared" si="43"/>
        <v>848.4</v>
      </c>
      <c r="N182" s="85">
        <f t="shared" si="43"/>
        <v>0</v>
      </c>
      <c r="O182" s="85">
        <f t="shared" si="43"/>
        <v>0</v>
      </c>
      <c r="P182" s="85">
        <f t="shared" si="43"/>
        <v>0</v>
      </c>
    </row>
    <row r="183" spans="1:17">
      <c r="A183" s="19"/>
      <c r="B183" s="25">
        <f>'Expense Input'!B32</f>
        <v>100</v>
      </c>
      <c r="C183" s="25">
        <f>'Expense Input'!C32</f>
        <v>4000</v>
      </c>
      <c r="D183" s="25">
        <f>'Expense Input'!D32</f>
        <v>7300</v>
      </c>
      <c r="E183" s="25">
        <f>'Expense Input'!E32</f>
        <v>390</v>
      </c>
      <c r="F183" s="25"/>
      <c r="G183" s="25" t="str">
        <f>'Expense Input'!F32</f>
        <v>Advertising</v>
      </c>
      <c r="H183" s="58">
        <f>+'Expense Input'!M32</f>
        <v>1581.66</v>
      </c>
      <c r="I183" s="1" t="str">
        <f t="shared" si="44"/>
        <v>*</v>
      </c>
      <c r="M183" s="85">
        <f t="shared" si="43"/>
        <v>1581.66</v>
      </c>
      <c r="N183" s="85">
        <f t="shared" si="43"/>
        <v>0</v>
      </c>
      <c r="O183" s="85">
        <f t="shared" si="43"/>
        <v>0</v>
      </c>
      <c r="P183" s="85">
        <f t="shared" si="43"/>
        <v>0</v>
      </c>
    </row>
    <row r="184" spans="1:17" s="64" customFormat="1">
      <c r="A184" s="63"/>
      <c r="B184" s="25">
        <f>'Expense Input'!B33</f>
        <v>100</v>
      </c>
      <c r="C184" s="25">
        <f>'Expense Input'!C33</f>
        <v>4000</v>
      </c>
      <c r="D184" s="25">
        <f>'Expense Input'!D33</f>
        <v>7300</v>
      </c>
      <c r="E184" s="25">
        <f>'Expense Input'!E33</f>
        <v>510</v>
      </c>
      <c r="F184" s="25"/>
      <c r="G184" s="25" t="str">
        <f>'Expense Input'!F33</f>
        <v>Office Expense</v>
      </c>
      <c r="H184" s="58">
        <f>+'Expense Input'!M33</f>
        <v>1700.84</v>
      </c>
      <c r="I184" s="1" t="str">
        <f t="shared" si="44"/>
        <v>*</v>
      </c>
      <c r="J184" s="1"/>
      <c r="K184" s="1"/>
      <c r="L184" s="1"/>
      <c r="M184" s="85">
        <f t="shared" si="43"/>
        <v>1700.84</v>
      </c>
      <c r="N184" s="85">
        <f t="shared" si="43"/>
        <v>0</v>
      </c>
      <c r="O184" s="85">
        <f t="shared" si="43"/>
        <v>0</v>
      </c>
      <c r="P184" s="85">
        <f t="shared" si="43"/>
        <v>0</v>
      </c>
    </row>
    <row r="185" spans="1:17" hidden="1">
      <c r="A185" s="19"/>
      <c r="B185" s="25">
        <f>'Expense Input'!B34</f>
        <v>100</v>
      </c>
      <c r="C185" s="25">
        <f>'Expense Input'!C34</f>
        <v>4000</v>
      </c>
      <c r="D185" s="25">
        <f>'Expense Input'!D34</f>
        <v>7300</v>
      </c>
      <c r="E185" s="25">
        <f>'Expense Input'!E34</f>
        <v>642</v>
      </c>
      <c r="F185" s="25"/>
      <c r="G185" s="25" t="str">
        <f>'Expense Input'!F34</f>
        <v>Non Cap Furniture and Equipment</v>
      </c>
      <c r="H185" s="58">
        <f>+'Expense Input'!M34</f>
        <v>0</v>
      </c>
      <c r="I185" s="1" t="str">
        <f t="shared" si="44"/>
        <v/>
      </c>
      <c r="M185" s="85">
        <f t="shared" si="43"/>
        <v>0</v>
      </c>
      <c r="N185" s="85">
        <f t="shared" si="43"/>
        <v>0</v>
      </c>
      <c r="O185" s="85">
        <f t="shared" si="43"/>
        <v>0</v>
      </c>
      <c r="P185" s="85">
        <f t="shared" si="43"/>
        <v>0</v>
      </c>
    </row>
    <row r="186" spans="1:17" hidden="1">
      <c r="A186" s="19"/>
      <c r="B186" s="25">
        <f>'Expense Input'!B35</f>
        <v>100</v>
      </c>
      <c r="C186" s="25">
        <f>'Expense Input'!C35</f>
        <v>4000</v>
      </c>
      <c r="D186" s="25">
        <f>'Expense Input'!D35</f>
        <v>7300</v>
      </c>
      <c r="E186" s="25">
        <f>'Expense Input'!E35</f>
        <v>643</v>
      </c>
      <c r="F186" s="25"/>
      <c r="G186" s="25" t="str">
        <f>'Expense Input'!F35</f>
        <v>Computer Hardware</v>
      </c>
      <c r="H186" s="58">
        <f>+'Expense Input'!M35</f>
        <v>0</v>
      </c>
      <c r="I186" s="1" t="str">
        <f t="shared" si="44"/>
        <v/>
      </c>
      <c r="M186" s="85">
        <f t="shared" si="43"/>
        <v>0</v>
      </c>
      <c r="N186" s="85">
        <f t="shared" si="43"/>
        <v>0</v>
      </c>
      <c r="O186" s="85">
        <f t="shared" si="43"/>
        <v>0</v>
      </c>
      <c r="P186" s="85">
        <f t="shared" si="43"/>
        <v>0</v>
      </c>
    </row>
    <row r="187" spans="1:17">
      <c r="A187" s="19"/>
      <c r="B187" s="25">
        <f>'Expense Input'!B36</f>
        <v>100</v>
      </c>
      <c r="C187" s="25">
        <f>'Expense Input'!C36</f>
        <v>4000</v>
      </c>
      <c r="D187" s="25">
        <f>'Expense Input'!D36</f>
        <v>7300</v>
      </c>
      <c r="E187" s="25">
        <f>'Expense Input'!E36</f>
        <v>690</v>
      </c>
      <c r="F187" s="25"/>
      <c r="G187" s="25" t="str">
        <f>'Expense Input'!F36</f>
        <v>Software</v>
      </c>
      <c r="H187" s="58">
        <f>+'Expense Input'!M36</f>
        <v>152.51</v>
      </c>
      <c r="I187" s="1" t="str">
        <f t="shared" si="44"/>
        <v>*</v>
      </c>
      <c r="M187" s="85">
        <f t="shared" si="43"/>
        <v>152.51</v>
      </c>
      <c r="N187" s="85">
        <f t="shared" si="43"/>
        <v>0</v>
      </c>
      <c r="O187" s="85">
        <f t="shared" si="43"/>
        <v>0</v>
      </c>
      <c r="P187" s="85">
        <f t="shared" si="43"/>
        <v>0</v>
      </c>
    </row>
    <row r="188" spans="1:17" hidden="1">
      <c r="A188" s="19"/>
      <c r="B188" s="25"/>
      <c r="C188" s="25"/>
      <c r="D188" s="25"/>
      <c r="E188" s="25"/>
      <c r="F188" s="25"/>
      <c r="G188" s="25"/>
      <c r="H188" s="58"/>
      <c r="I188" s="1" t="str">
        <f t="shared" si="44"/>
        <v/>
      </c>
      <c r="M188" s="85">
        <f t="shared" si="43"/>
        <v>0</v>
      </c>
      <c r="N188" s="85">
        <f t="shared" si="43"/>
        <v>0</v>
      </c>
      <c r="O188" s="85">
        <f t="shared" si="43"/>
        <v>0</v>
      </c>
      <c r="P188" s="85">
        <f t="shared" si="43"/>
        <v>0</v>
      </c>
    </row>
    <row r="189" spans="1:17" hidden="1">
      <c r="A189" s="19"/>
      <c r="B189" s="25"/>
      <c r="C189" s="25"/>
      <c r="D189" s="25"/>
      <c r="E189" s="25"/>
      <c r="F189" s="25"/>
      <c r="G189" s="25"/>
      <c r="H189" s="58"/>
      <c r="I189" s="1" t="str">
        <f t="shared" si="44"/>
        <v/>
      </c>
      <c r="M189" s="85">
        <f t="shared" si="43"/>
        <v>0</v>
      </c>
      <c r="N189" s="85">
        <f t="shared" si="43"/>
        <v>0</v>
      </c>
      <c r="O189" s="85">
        <f t="shared" si="43"/>
        <v>0</v>
      </c>
      <c r="P189" s="85">
        <f t="shared" si="43"/>
        <v>0</v>
      </c>
    </row>
    <row r="190" spans="1:17">
      <c r="A190" s="19"/>
      <c r="B190" s="25"/>
      <c r="C190" s="25"/>
      <c r="D190" s="25"/>
      <c r="E190" s="25"/>
      <c r="F190" s="25"/>
      <c r="G190" s="25"/>
      <c r="H190" s="26"/>
      <c r="I190" s="1" t="str">
        <f>I191</f>
        <v>*</v>
      </c>
      <c r="K190" s="8"/>
      <c r="M190" s="85">
        <f t="shared" si="43"/>
        <v>0</v>
      </c>
      <c r="N190" s="85">
        <f t="shared" si="43"/>
        <v>0</v>
      </c>
      <c r="O190" s="85">
        <f t="shared" si="43"/>
        <v>0</v>
      </c>
      <c r="P190" s="85">
        <f t="shared" si="43"/>
        <v>0</v>
      </c>
    </row>
    <row r="191" spans="1:17">
      <c r="A191" s="19"/>
      <c r="B191" s="25"/>
      <c r="C191" s="25"/>
      <c r="D191" s="25"/>
      <c r="E191" s="25"/>
      <c r="G191" s="16" t="s">
        <v>38</v>
      </c>
      <c r="H191" s="23">
        <f>SUM(H172:H190)</f>
        <v>30738.072720000004</v>
      </c>
      <c r="I191" s="1" t="str">
        <f t="shared" si="44"/>
        <v>*</v>
      </c>
      <c r="M191" s="85">
        <f t="shared" si="43"/>
        <v>0</v>
      </c>
      <c r="N191" s="85">
        <f t="shared" si="43"/>
        <v>0</v>
      </c>
      <c r="O191" s="85">
        <f t="shared" si="43"/>
        <v>0</v>
      </c>
      <c r="P191" s="85">
        <f t="shared" si="43"/>
        <v>0</v>
      </c>
    </row>
    <row r="192" spans="1:17">
      <c r="A192" s="19"/>
      <c r="B192" s="25"/>
      <c r="C192" s="25"/>
      <c r="D192" s="25"/>
      <c r="E192" s="25"/>
      <c r="F192" s="1"/>
      <c r="G192" s="3"/>
      <c r="I192" s="1" t="str">
        <f>I191</f>
        <v>*</v>
      </c>
      <c r="M192" s="85">
        <f t="shared" si="43"/>
        <v>0</v>
      </c>
      <c r="N192" s="85">
        <f t="shared" si="43"/>
        <v>0</v>
      </c>
      <c r="O192" s="85">
        <f t="shared" si="43"/>
        <v>0</v>
      </c>
      <c r="P192" s="85">
        <f t="shared" si="43"/>
        <v>0</v>
      </c>
    </row>
    <row r="193" spans="1:17">
      <c r="A193" s="19"/>
      <c r="B193" s="112">
        <f>+'Expense Input'!B37</f>
        <v>100</v>
      </c>
      <c r="C193" s="112">
        <f>+'Expense Input'!C37</f>
        <v>4000</v>
      </c>
      <c r="D193" s="112">
        <f>+'Expense Input'!D37</f>
        <v>7400</v>
      </c>
      <c r="E193" s="112">
        <f>+'Expense Input'!E37</f>
        <v>630</v>
      </c>
      <c r="F193" s="64"/>
      <c r="G193" s="64" t="str">
        <f>+'Expense Input'!F37</f>
        <v>Facility Cost</v>
      </c>
      <c r="H193" s="58">
        <f>+'Expense Input'!M37</f>
        <v>15658.413799999998</v>
      </c>
      <c r="I193" s="1" t="str">
        <f>IF(SUM(H193)&gt;0.49,"*","")</f>
        <v>*</v>
      </c>
      <c r="M193" s="85">
        <f t="shared" si="43"/>
        <v>15658.413799999998</v>
      </c>
      <c r="N193" s="85">
        <f t="shared" si="43"/>
        <v>0</v>
      </c>
      <c r="O193" s="85">
        <f t="shared" si="43"/>
        <v>0</v>
      </c>
      <c r="P193" s="85">
        <f t="shared" si="43"/>
        <v>0</v>
      </c>
    </row>
    <row r="194" spans="1:17" hidden="1">
      <c r="A194" s="19"/>
      <c r="B194" s="25"/>
      <c r="C194" s="25"/>
      <c r="D194" s="25"/>
      <c r="E194" s="25"/>
      <c r="F194" s="1"/>
      <c r="H194" s="24"/>
      <c r="I194" s="1" t="str">
        <f>IF(SUM(H194)&gt;0.49,"*","")</f>
        <v/>
      </c>
      <c r="M194" s="85">
        <f t="shared" si="43"/>
        <v>0</v>
      </c>
      <c r="N194" s="85">
        <f t="shared" si="43"/>
        <v>0</v>
      </c>
      <c r="O194" s="85">
        <f t="shared" si="43"/>
        <v>0</v>
      </c>
      <c r="P194" s="85">
        <f t="shared" si="43"/>
        <v>0</v>
      </c>
    </row>
    <row r="195" spans="1:17">
      <c r="A195" s="19"/>
      <c r="B195" s="25"/>
      <c r="C195" s="25"/>
      <c r="D195" s="25"/>
      <c r="E195" s="25"/>
      <c r="F195" s="1"/>
      <c r="H195" s="26"/>
      <c r="I195" s="1" t="str">
        <f>IF(I196="*","*","")</f>
        <v>*</v>
      </c>
      <c r="M195" s="85">
        <f t="shared" si="43"/>
        <v>0</v>
      </c>
      <c r="N195" s="85">
        <f t="shared" si="43"/>
        <v>0</v>
      </c>
      <c r="O195" s="85">
        <f t="shared" si="43"/>
        <v>0</v>
      </c>
      <c r="P195" s="85">
        <f t="shared" si="43"/>
        <v>0</v>
      </c>
    </row>
    <row r="196" spans="1:17">
      <c r="A196" s="19"/>
      <c r="B196" s="25"/>
      <c r="C196" s="25"/>
      <c r="D196" s="25"/>
      <c r="E196" s="25"/>
      <c r="F196" s="1"/>
      <c r="G196" s="16" t="s">
        <v>46</v>
      </c>
      <c r="H196" s="23">
        <f>SUM(H193:H195)</f>
        <v>15658.413799999998</v>
      </c>
      <c r="I196" s="1" t="str">
        <f>IF(SUM(H196)&gt;0.49,"*","")</f>
        <v>*</v>
      </c>
      <c r="M196" s="85">
        <f t="shared" si="43"/>
        <v>0</v>
      </c>
      <c r="N196" s="85">
        <f t="shared" si="43"/>
        <v>0</v>
      </c>
      <c r="O196" s="85">
        <f t="shared" si="43"/>
        <v>0</v>
      </c>
      <c r="P196" s="85">
        <f t="shared" si="43"/>
        <v>0</v>
      </c>
      <c r="Q196" s="8"/>
    </row>
    <row r="197" spans="1:17">
      <c r="A197" s="19"/>
      <c r="B197" s="25"/>
      <c r="C197" s="25"/>
      <c r="D197" s="25"/>
      <c r="E197" s="25"/>
      <c r="F197" s="1"/>
      <c r="G197" s="16"/>
      <c r="H197" s="24"/>
      <c r="I197" s="1" t="str">
        <f>IF(I196="*","*","")</f>
        <v>*</v>
      </c>
      <c r="M197" s="85">
        <f t="shared" si="43"/>
        <v>0</v>
      </c>
      <c r="N197" s="85">
        <f t="shared" si="43"/>
        <v>0</v>
      </c>
      <c r="O197" s="85">
        <f t="shared" si="43"/>
        <v>0</v>
      </c>
      <c r="P197" s="85">
        <f t="shared" si="43"/>
        <v>0</v>
      </c>
    </row>
    <row r="198" spans="1:17" hidden="1">
      <c r="A198" s="63"/>
      <c r="B198" s="25"/>
      <c r="C198" s="25"/>
      <c r="D198" s="25"/>
      <c r="E198" s="25"/>
      <c r="F198" s="64"/>
      <c r="G198" s="66"/>
      <c r="H198" s="58"/>
      <c r="I198" s="1" t="str">
        <f t="shared" ref="I198:I203" si="45">IF(SUM(H198)&gt;0.49,"*","")</f>
        <v/>
      </c>
      <c r="M198" s="85">
        <f t="shared" si="43"/>
        <v>0</v>
      </c>
      <c r="N198" s="85">
        <f t="shared" si="43"/>
        <v>0</v>
      </c>
      <c r="O198" s="85">
        <f t="shared" si="43"/>
        <v>0</v>
      </c>
      <c r="P198" s="85">
        <f t="shared" si="43"/>
        <v>0</v>
      </c>
    </row>
    <row r="199" spans="1:17">
      <c r="A199" s="63"/>
      <c r="B199" s="25">
        <f>'Expense Input'!B38</f>
        <v>100</v>
      </c>
      <c r="C199" s="25">
        <f>'Expense Input'!C38</f>
        <v>4000</v>
      </c>
      <c r="D199" s="25">
        <f>'Expense Input'!D38</f>
        <v>7500</v>
      </c>
      <c r="E199" s="25">
        <f>'Expense Input'!E38</f>
        <v>310</v>
      </c>
      <c r="F199" s="64"/>
      <c r="G199" s="64" t="str">
        <f>'Expense Input'!F38</f>
        <v>Contract Controller Service</v>
      </c>
      <c r="H199" s="58">
        <f>+'Expense Input'!M38</f>
        <v>21287.13</v>
      </c>
      <c r="I199" s="1" t="str">
        <f t="shared" si="45"/>
        <v>*</v>
      </c>
      <c r="K199" s="8"/>
      <c r="M199" s="85">
        <f t="shared" si="43"/>
        <v>21287.13</v>
      </c>
      <c r="N199" s="85">
        <f t="shared" si="43"/>
        <v>0</v>
      </c>
      <c r="O199" s="85">
        <f t="shared" si="43"/>
        <v>0</v>
      </c>
      <c r="P199" s="85">
        <f t="shared" si="43"/>
        <v>0</v>
      </c>
    </row>
    <row r="200" spans="1:17">
      <c r="A200" s="63"/>
      <c r="B200" s="25">
        <f>'Expense Input'!B39</f>
        <v>493</v>
      </c>
      <c r="C200" s="25">
        <f>'Expense Input'!C39</f>
        <v>4000</v>
      </c>
      <c r="D200" s="25">
        <f>'Expense Input'!D39</f>
        <v>7500</v>
      </c>
      <c r="E200" s="25">
        <f>'Expense Input'!E39</f>
        <v>310</v>
      </c>
      <c r="F200" s="64"/>
      <c r="G200" s="64" t="str">
        <f>'Expense Input'!F39</f>
        <v>Contract Controller Service</v>
      </c>
      <c r="H200" s="58">
        <f>+'Expense Input'!M39</f>
        <v>6374.6796000000004</v>
      </c>
      <c r="I200" s="1" t="str">
        <f t="shared" si="45"/>
        <v>*</v>
      </c>
      <c r="K200" s="8"/>
      <c r="M200" s="85">
        <f t="shared" si="43"/>
        <v>0</v>
      </c>
      <c r="N200" s="85">
        <f t="shared" si="43"/>
        <v>0</v>
      </c>
      <c r="O200" s="85">
        <f t="shared" si="43"/>
        <v>6374.6796000000004</v>
      </c>
      <c r="P200" s="85">
        <f t="shared" si="43"/>
        <v>0</v>
      </c>
    </row>
    <row r="201" spans="1:17">
      <c r="A201" s="63"/>
      <c r="B201" s="25">
        <f>'Expense Input'!B40</f>
        <v>100</v>
      </c>
      <c r="C201" s="25">
        <f>'Expense Input'!C40</f>
        <v>4000</v>
      </c>
      <c r="D201" s="25">
        <f>'Expense Input'!D40</f>
        <v>7500</v>
      </c>
      <c r="E201" s="25">
        <f>'Expense Input'!E40</f>
        <v>311</v>
      </c>
      <c r="F201" s="64"/>
      <c r="G201" s="64" t="str">
        <f>'Expense Input'!F40</f>
        <v>Payroll Service</v>
      </c>
      <c r="H201" s="58">
        <f>+'Expense Input'!M40</f>
        <v>5403.462691177172</v>
      </c>
      <c r="I201" s="1" t="str">
        <f t="shared" si="45"/>
        <v>*</v>
      </c>
      <c r="M201" s="85">
        <f t="shared" si="43"/>
        <v>5403.462691177172</v>
      </c>
      <c r="N201" s="85">
        <f t="shared" si="43"/>
        <v>0</v>
      </c>
      <c r="O201" s="85">
        <f t="shared" si="43"/>
        <v>0</v>
      </c>
      <c r="P201" s="85">
        <f t="shared" si="43"/>
        <v>0</v>
      </c>
    </row>
    <row r="202" spans="1:17" hidden="1">
      <c r="A202" s="19"/>
      <c r="B202" s="25"/>
      <c r="C202" s="25"/>
      <c r="D202" s="25"/>
      <c r="E202" s="25"/>
      <c r="F202" s="64"/>
      <c r="G202" s="64"/>
      <c r="H202" s="58"/>
      <c r="I202" s="1" t="str">
        <f t="shared" si="45"/>
        <v/>
      </c>
      <c r="M202" s="85">
        <f t="shared" si="43"/>
        <v>0</v>
      </c>
      <c r="N202" s="85">
        <f t="shared" si="43"/>
        <v>0</v>
      </c>
      <c r="O202" s="85">
        <f t="shared" si="43"/>
        <v>0</v>
      </c>
      <c r="P202" s="85">
        <f t="shared" si="43"/>
        <v>0</v>
      </c>
    </row>
    <row r="203" spans="1:17" hidden="1">
      <c r="A203" s="19"/>
      <c r="B203" s="25"/>
      <c r="C203" s="25"/>
      <c r="D203" s="25"/>
      <c r="E203" s="25"/>
      <c r="F203" s="1"/>
      <c r="H203" s="24"/>
      <c r="I203" s="1" t="str">
        <f t="shared" si="45"/>
        <v/>
      </c>
      <c r="M203" s="85">
        <f t="shared" si="43"/>
        <v>0</v>
      </c>
      <c r="N203" s="85">
        <f t="shared" si="43"/>
        <v>0</v>
      </c>
      <c r="O203" s="85">
        <f t="shared" si="43"/>
        <v>0</v>
      </c>
      <c r="P203" s="85">
        <f t="shared" si="43"/>
        <v>0</v>
      </c>
    </row>
    <row r="204" spans="1:17">
      <c r="A204" s="19"/>
      <c r="B204" s="25"/>
      <c r="C204" s="25"/>
      <c r="D204" s="25"/>
      <c r="E204" s="25"/>
      <c r="F204" s="1"/>
      <c r="H204" s="26"/>
      <c r="I204" s="1" t="str">
        <f>IF(I205="*","*","")</f>
        <v>*</v>
      </c>
      <c r="M204" s="85">
        <f t="shared" si="43"/>
        <v>0</v>
      </c>
      <c r="N204" s="85">
        <f t="shared" si="43"/>
        <v>0</v>
      </c>
      <c r="O204" s="85">
        <f t="shared" si="43"/>
        <v>0</v>
      </c>
      <c r="P204" s="85">
        <f t="shared" si="43"/>
        <v>0</v>
      </c>
      <c r="Q204" s="8"/>
    </row>
    <row r="205" spans="1:17">
      <c r="A205" s="19"/>
      <c r="B205" s="25"/>
      <c r="C205" s="25"/>
      <c r="D205" s="25"/>
      <c r="E205" s="25"/>
      <c r="G205" s="16" t="s">
        <v>39</v>
      </c>
      <c r="H205" s="23">
        <f>SUM(H199:H204)</f>
        <v>33065.272291177171</v>
      </c>
      <c r="I205" s="1" t="str">
        <f>IF(SUM(H205)&gt;0.49,"*","")</f>
        <v>*</v>
      </c>
      <c r="M205" s="85">
        <f t="shared" si="43"/>
        <v>0</v>
      </c>
      <c r="N205" s="85">
        <f t="shared" si="43"/>
        <v>0</v>
      </c>
      <c r="O205" s="85">
        <f t="shared" si="43"/>
        <v>0</v>
      </c>
      <c r="P205" s="85">
        <f t="shared" si="43"/>
        <v>0</v>
      </c>
    </row>
    <row r="206" spans="1:17">
      <c r="A206" s="19"/>
      <c r="B206" s="25"/>
      <c r="C206" s="25"/>
      <c r="D206" s="25"/>
      <c r="E206" s="25"/>
      <c r="G206" s="16"/>
      <c r="I206" s="1" t="str">
        <f>IF(I205="*","*","")</f>
        <v>*</v>
      </c>
      <c r="M206" s="85">
        <f t="shared" si="43"/>
        <v>0</v>
      </c>
      <c r="N206" s="85">
        <f t="shared" si="43"/>
        <v>0</v>
      </c>
      <c r="O206" s="85">
        <f t="shared" si="43"/>
        <v>0</v>
      </c>
      <c r="P206" s="85">
        <f t="shared" si="43"/>
        <v>0</v>
      </c>
    </row>
    <row r="207" spans="1:17" hidden="1">
      <c r="A207" s="19"/>
      <c r="B207" s="25">
        <v>410</v>
      </c>
      <c r="C207" s="25">
        <v>4000</v>
      </c>
      <c r="D207" s="25">
        <v>7600</v>
      </c>
      <c r="E207" s="25">
        <v>150</v>
      </c>
      <c r="F207" s="25"/>
      <c r="G207" s="25" t="s">
        <v>66</v>
      </c>
      <c r="H207" s="58">
        <f>+Payroll!F104</f>
        <v>0</v>
      </c>
      <c r="I207" s="1" t="str">
        <f t="shared" ref="I207:I218" si="46">IF(SUM(H207)&gt;0.49,"*","")</f>
        <v/>
      </c>
      <c r="M207" s="85">
        <f t="shared" si="43"/>
        <v>0</v>
      </c>
      <c r="N207" s="85">
        <f t="shared" si="43"/>
        <v>0</v>
      </c>
      <c r="O207" s="85">
        <f t="shared" si="43"/>
        <v>0</v>
      </c>
      <c r="P207" s="85">
        <f t="shared" si="43"/>
        <v>0</v>
      </c>
    </row>
    <row r="208" spans="1:17" hidden="1">
      <c r="A208" s="19"/>
      <c r="B208" s="25">
        <v>410</v>
      </c>
      <c r="C208" s="25">
        <v>4000</v>
      </c>
      <c r="D208" s="25">
        <v>7600</v>
      </c>
      <c r="E208" s="25">
        <v>210</v>
      </c>
      <c r="F208" s="25"/>
      <c r="G208" s="25" t="s">
        <v>48</v>
      </c>
      <c r="H208" s="58">
        <f>+Payroll!G104</f>
        <v>0</v>
      </c>
      <c r="I208" s="1" t="str">
        <f t="shared" si="46"/>
        <v/>
      </c>
      <c r="M208" s="85">
        <f t="shared" si="43"/>
        <v>0</v>
      </c>
      <c r="N208" s="85">
        <f t="shared" si="43"/>
        <v>0</v>
      </c>
      <c r="O208" s="85">
        <f t="shared" si="43"/>
        <v>0</v>
      </c>
      <c r="P208" s="85">
        <f t="shared" si="43"/>
        <v>0</v>
      </c>
    </row>
    <row r="209" spans="1:16" hidden="1">
      <c r="A209" s="19"/>
      <c r="B209" s="25">
        <v>410</v>
      </c>
      <c r="C209" s="25">
        <v>4000</v>
      </c>
      <c r="D209" s="25">
        <v>7600</v>
      </c>
      <c r="E209" s="25">
        <v>220</v>
      </c>
      <c r="F209" s="25"/>
      <c r="G209" s="25" t="s">
        <v>49</v>
      </c>
      <c r="H209" s="58">
        <f>+Payroll!I104</f>
        <v>0</v>
      </c>
      <c r="I209" s="1" t="str">
        <f t="shared" si="46"/>
        <v/>
      </c>
      <c r="M209" s="85">
        <f t="shared" ref="M209:P242" si="47">IF($B209=M$14,$H209,0)</f>
        <v>0</v>
      </c>
      <c r="N209" s="85">
        <f t="shared" si="47"/>
        <v>0</v>
      </c>
      <c r="O209" s="85">
        <f t="shared" si="47"/>
        <v>0</v>
      </c>
      <c r="P209" s="85">
        <f t="shared" si="47"/>
        <v>0</v>
      </c>
    </row>
    <row r="210" spans="1:16" hidden="1">
      <c r="A210" s="19"/>
      <c r="B210" s="25">
        <v>410</v>
      </c>
      <c r="C210" s="25">
        <v>4000</v>
      </c>
      <c r="D210" s="25">
        <v>7600</v>
      </c>
      <c r="E210" s="25">
        <v>230</v>
      </c>
      <c r="F210" s="25"/>
      <c r="G210" s="25" t="s">
        <v>50</v>
      </c>
      <c r="H210" s="58">
        <f>+Payroll!J104</f>
        <v>0</v>
      </c>
      <c r="I210" s="1" t="str">
        <f t="shared" si="46"/>
        <v/>
      </c>
      <c r="M210" s="85">
        <f t="shared" si="47"/>
        <v>0</v>
      </c>
      <c r="N210" s="85">
        <f t="shared" si="47"/>
        <v>0</v>
      </c>
      <c r="O210" s="85">
        <f t="shared" si="47"/>
        <v>0</v>
      </c>
      <c r="P210" s="85">
        <f t="shared" si="47"/>
        <v>0</v>
      </c>
    </row>
    <row r="211" spans="1:16" hidden="1">
      <c r="A211" s="19"/>
      <c r="B211" s="25">
        <v>410</v>
      </c>
      <c r="C211" s="25">
        <v>4000</v>
      </c>
      <c r="D211" s="25">
        <v>7600</v>
      </c>
      <c r="E211" s="25">
        <v>240</v>
      </c>
      <c r="F211" s="25"/>
      <c r="G211" s="25" t="s">
        <v>51</v>
      </c>
      <c r="H211" s="58">
        <f>+Payroll!L104</f>
        <v>0</v>
      </c>
      <c r="I211" s="1" t="str">
        <f t="shared" si="46"/>
        <v/>
      </c>
      <c r="M211" s="85">
        <f t="shared" si="47"/>
        <v>0</v>
      </c>
      <c r="N211" s="85">
        <f t="shared" si="47"/>
        <v>0</v>
      </c>
      <c r="O211" s="85">
        <f t="shared" si="47"/>
        <v>0</v>
      </c>
      <c r="P211" s="85">
        <f t="shared" si="47"/>
        <v>0</v>
      </c>
    </row>
    <row r="212" spans="1:16" hidden="1">
      <c r="A212" s="19"/>
      <c r="B212" s="25">
        <v>410</v>
      </c>
      <c r="C212" s="25">
        <v>4000</v>
      </c>
      <c r="D212" s="25">
        <v>7600</v>
      </c>
      <c r="E212" s="25">
        <v>250</v>
      </c>
      <c r="F212" s="25"/>
      <c r="G212" s="25" t="s">
        <v>52</v>
      </c>
      <c r="H212" s="58">
        <f>+Payroll!M104</f>
        <v>0</v>
      </c>
      <c r="I212" s="1" t="str">
        <f>IF(SUM(H209)&gt;0.49,"*","")</f>
        <v/>
      </c>
      <c r="M212" s="85">
        <f t="shared" si="47"/>
        <v>0</v>
      </c>
      <c r="N212" s="85">
        <f t="shared" si="47"/>
        <v>0</v>
      </c>
      <c r="O212" s="85">
        <f t="shared" si="47"/>
        <v>0</v>
      </c>
      <c r="P212" s="85">
        <f t="shared" si="47"/>
        <v>0</v>
      </c>
    </row>
    <row r="213" spans="1:16" hidden="1">
      <c r="A213" s="19"/>
      <c r="B213" s="25"/>
      <c r="C213" s="25"/>
      <c r="D213" s="25"/>
      <c r="E213" s="25"/>
      <c r="H213" s="58"/>
      <c r="I213" s="1" t="str">
        <f t="shared" si="46"/>
        <v/>
      </c>
      <c r="M213" s="85">
        <f t="shared" si="47"/>
        <v>0</v>
      </c>
      <c r="N213" s="85">
        <f t="shared" si="47"/>
        <v>0</v>
      </c>
      <c r="O213" s="85">
        <f t="shared" si="47"/>
        <v>0</v>
      </c>
      <c r="P213" s="85">
        <f t="shared" si="47"/>
        <v>0</v>
      </c>
    </row>
    <row r="214" spans="1:16" hidden="1">
      <c r="A214" s="19"/>
      <c r="B214" s="25"/>
      <c r="C214" s="25"/>
      <c r="D214" s="25"/>
      <c r="E214" s="25"/>
      <c r="H214" s="58"/>
      <c r="I214" s="1" t="str">
        <f t="shared" si="46"/>
        <v/>
      </c>
      <c r="M214" s="85">
        <f t="shared" si="47"/>
        <v>0</v>
      </c>
      <c r="N214" s="85">
        <f t="shared" si="47"/>
        <v>0</v>
      </c>
      <c r="O214" s="85">
        <f t="shared" si="47"/>
        <v>0</v>
      </c>
      <c r="P214" s="85">
        <f t="shared" si="47"/>
        <v>0</v>
      </c>
    </row>
    <row r="215" spans="1:16" hidden="1">
      <c r="A215" s="19"/>
      <c r="B215" s="25"/>
      <c r="C215" s="25"/>
      <c r="D215" s="25"/>
      <c r="E215" s="25"/>
      <c r="H215" s="58"/>
      <c r="I215" s="1" t="str">
        <f t="shared" si="46"/>
        <v/>
      </c>
      <c r="M215" s="85">
        <f t="shared" si="47"/>
        <v>0</v>
      </c>
      <c r="N215" s="85">
        <f t="shared" si="47"/>
        <v>0</v>
      </c>
      <c r="O215" s="85">
        <f t="shared" si="47"/>
        <v>0</v>
      </c>
      <c r="P215" s="85">
        <f t="shared" si="47"/>
        <v>0</v>
      </c>
    </row>
    <row r="216" spans="1:16" hidden="1">
      <c r="A216" s="19"/>
      <c r="B216" s="25"/>
      <c r="C216" s="25"/>
      <c r="D216" s="25"/>
      <c r="E216" s="25"/>
      <c r="H216" s="58"/>
      <c r="I216" s="1" t="str">
        <f t="shared" si="46"/>
        <v/>
      </c>
      <c r="M216" s="85">
        <f t="shared" si="47"/>
        <v>0</v>
      </c>
      <c r="N216" s="85">
        <f t="shared" si="47"/>
        <v>0</v>
      </c>
      <c r="O216" s="85">
        <f t="shared" si="47"/>
        <v>0</v>
      </c>
      <c r="P216" s="85">
        <f t="shared" si="47"/>
        <v>0</v>
      </c>
    </row>
    <row r="217" spans="1:16" hidden="1">
      <c r="A217" s="19"/>
      <c r="B217" s="25"/>
      <c r="C217" s="25"/>
      <c r="D217" s="25"/>
      <c r="E217" s="25"/>
      <c r="H217" s="58"/>
      <c r="I217" s="1" t="str">
        <f t="shared" si="46"/>
        <v/>
      </c>
      <c r="M217" s="85">
        <f t="shared" si="47"/>
        <v>0</v>
      </c>
      <c r="N217" s="85">
        <f t="shared" si="47"/>
        <v>0</v>
      </c>
      <c r="O217" s="85">
        <f t="shared" si="47"/>
        <v>0</v>
      </c>
      <c r="P217" s="85">
        <f t="shared" si="47"/>
        <v>0</v>
      </c>
    </row>
    <row r="218" spans="1:16" hidden="1">
      <c r="A218" s="19"/>
      <c r="B218" s="25"/>
      <c r="C218" s="25"/>
      <c r="D218" s="25"/>
      <c r="E218" s="25"/>
      <c r="H218" s="58"/>
      <c r="I218" s="1" t="str">
        <f t="shared" si="46"/>
        <v/>
      </c>
      <c r="M218" s="85">
        <f t="shared" si="47"/>
        <v>0</v>
      </c>
      <c r="N218" s="85">
        <f t="shared" si="47"/>
        <v>0</v>
      </c>
      <c r="O218" s="85">
        <f t="shared" si="47"/>
        <v>0</v>
      </c>
      <c r="P218" s="85">
        <f t="shared" si="47"/>
        <v>0</v>
      </c>
    </row>
    <row r="219" spans="1:16" hidden="1">
      <c r="A219" s="19"/>
      <c r="B219" s="25"/>
      <c r="C219" s="25"/>
      <c r="D219" s="25"/>
      <c r="E219" s="25"/>
      <c r="F219" s="25"/>
      <c r="G219" s="25"/>
      <c r="H219" s="26"/>
      <c r="I219" s="1" t="str">
        <f>IF(I220="*","*","")</f>
        <v/>
      </c>
      <c r="M219" s="85">
        <f t="shared" si="47"/>
        <v>0</v>
      </c>
      <c r="N219" s="85">
        <f t="shared" si="47"/>
        <v>0</v>
      </c>
      <c r="O219" s="85">
        <f t="shared" si="47"/>
        <v>0</v>
      </c>
      <c r="P219" s="85">
        <f t="shared" si="47"/>
        <v>0</v>
      </c>
    </row>
    <row r="220" spans="1:16" hidden="1">
      <c r="A220" s="19"/>
      <c r="B220" s="25"/>
      <c r="C220" s="25"/>
      <c r="D220" s="25"/>
      <c r="E220" s="25"/>
      <c r="G220" s="16" t="s">
        <v>40</v>
      </c>
      <c r="H220" s="23">
        <f t="shared" ref="H220" si="48">SUM(H207:H219)</f>
        <v>0</v>
      </c>
      <c r="I220" s="1" t="str">
        <f>IF(SUM(H220)&gt;0.49,"*","")</f>
        <v/>
      </c>
      <c r="M220" s="85">
        <f t="shared" si="47"/>
        <v>0</v>
      </c>
      <c r="N220" s="85">
        <f t="shared" si="47"/>
        <v>0</v>
      </c>
      <c r="O220" s="85">
        <f t="shared" si="47"/>
        <v>0</v>
      </c>
      <c r="P220" s="85">
        <f t="shared" si="47"/>
        <v>0</v>
      </c>
    </row>
    <row r="221" spans="1:16" hidden="1">
      <c r="A221" s="19"/>
      <c r="B221" s="25"/>
      <c r="C221" s="25"/>
      <c r="D221" s="25"/>
      <c r="E221" s="25"/>
      <c r="F221" s="25"/>
      <c r="G221" s="25"/>
      <c r="H221" s="26"/>
      <c r="I221" s="1" t="str">
        <f>IF(I220="*","*","")</f>
        <v/>
      </c>
      <c r="M221" s="85">
        <f t="shared" si="47"/>
        <v>0</v>
      </c>
      <c r="N221" s="85">
        <f t="shared" si="47"/>
        <v>0</v>
      </c>
      <c r="O221" s="85">
        <f t="shared" si="47"/>
        <v>0</v>
      </c>
      <c r="P221" s="85">
        <f t="shared" si="47"/>
        <v>0</v>
      </c>
    </row>
    <row r="222" spans="1:16" hidden="1">
      <c r="A222" s="19"/>
      <c r="B222" s="25">
        <v>100</v>
      </c>
      <c r="C222" s="25">
        <v>4000</v>
      </c>
      <c r="D222" s="25">
        <v>7800</v>
      </c>
      <c r="E222" s="25">
        <v>160</v>
      </c>
      <c r="F222" s="25"/>
      <c r="G222" s="25" t="s">
        <v>80</v>
      </c>
      <c r="H222" s="58">
        <f>+Payroll!F87</f>
        <v>0</v>
      </c>
      <c r="I222" s="1" t="str">
        <f t="shared" ref="I222:I241" si="49">IF(SUM(H222)&gt;0.49,"*","")</f>
        <v/>
      </c>
      <c r="M222" s="85">
        <f t="shared" si="47"/>
        <v>0</v>
      </c>
      <c r="N222" s="85">
        <f t="shared" si="47"/>
        <v>0</v>
      </c>
      <c r="O222" s="85">
        <f t="shared" si="47"/>
        <v>0</v>
      </c>
      <c r="P222" s="85">
        <f t="shared" si="47"/>
        <v>0</v>
      </c>
    </row>
    <row r="223" spans="1:16" hidden="1">
      <c r="A223" s="19"/>
      <c r="B223" s="25">
        <v>100</v>
      </c>
      <c r="C223" s="25">
        <v>4000</v>
      </c>
      <c r="D223" s="25">
        <v>7800</v>
      </c>
      <c r="E223" s="25">
        <v>210</v>
      </c>
      <c r="F223" s="25"/>
      <c r="G223" s="25" t="s">
        <v>48</v>
      </c>
      <c r="H223" s="58">
        <f>+Payroll!G87</f>
        <v>0</v>
      </c>
      <c r="I223" s="1" t="str">
        <f t="shared" si="49"/>
        <v/>
      </c>
      <c r="M223" s="85">
        <f t="shared" si="47"/>
        <v>0</v>
      </c>
      <c r="N223" s="85">
        <f t="shared" si="47"/>
        <v>0</v>
      </c>
      <c r="O223" s="85">
        <f t="shared" si="47"/>
        <v>0</v>
      </c>
      <c r="P223" s="85">
        <f t="shared" si="47"/>
        <v>0</v>
      </c>
    </row>
    <row r="224" spans="1:16" hidden="1">
      <c r="A224" s="19"/>
      <c r="B224" s="25">
        <v>100</v>
      </c>
      <c r="C224" s="25">
        <v>4000</v>
      </c>
      <c r="D224" s="25">
        <v>7800</v>
      </c>
      <c r="E224" s="25">
        <v>220</v>
      </c>
      <c r="F224" s="25"/>
      <c r="G224" s="25" t="s">
        <v>49</v>
      </c>
      <c r="H224" s="58">
        <f>+Payroll!I87</f>
        <v>0</v>
      </c>
      <c r="I224" s="1" t="str">
        <f t="shared" si="49"/>
        <v/>
      </c>
      <c r="M224" s="85">
        <f t="shared" si="47"/>
        <v>0</v>
      </c>
      <c r="N224" s="85">
        <f t="shared" si="47"/>
        <v>0</v>
      </c>
      <c r="O224" s="85">
        <f t="shared" si="47"/>
        <v>0</v>
      </c>
      <c r="P224" s="85">
        <f t="shared" si="47"/>
        <v>0</v>
      </c>
    </row>
    <row r="225" spans="1:16" hidden="1">
      <c r="A225" s="19"/>
      <c r="B225" s="25">
        <v>100</v>
      </c>
      <c r="C225" s="25">
        <v>4000</v>
      </c>
      <c r="D225" s="25">
        <v>7800</v>
      </c>
      <c r="E225" s="25">
        <v>230</v>
      </c>
      <c r="F225" s="25"/>
      <c r="G225" s="25" t="s">
        <v>50</v>
      </c>
      <c r="H225" s="58">
        <f>+Payroll!J87</f>
        <v>0</v>
      </c>
      <c r="I225" s="1" t="str">
        <f t="shared" si="49"/>
        <v/>
      </c>
      <c r="M225" s="85">
        <f t="shared" si="47"/>
        <v>0</v>
      </c>
      <c r="N225" s="85">
        <f t="shared" si="47"/>
        <v>0</v>
      </c>
      <c r="O225" s="85">
        <f t="shared" si="47"/>
        <v>0</v>
      </c>
      <c r="P225" s="85">
        <f t="shared" si="47"/>
        <v>0</v>
      </c>
    </row>
    <row r="226" spans="1:16" hidden="1">
      <c r="A226" s="19"/>
      <c r="B226" s="25">
        <v>100</v>
      </c>
      <c r="C226" s="25">
        <v>4000</v>
      </c>
      <c r="D226" s="25">
        <v>7800</v>
      </c>
      <c r="E226" s="25">
        <v>240</v>
      </c>
      <c r="F226" s="25"/>
      <c r="G226" s="25" t="s">
        <v>51</v>
      </c>
      <c r="H226" s="58">
        <f>+Payroll!L87</f>
        <v>0</v>
      </c>
      <c r="I226" s="1" t="str">
        <f t="shared" si="49"/>
        <v/>
      </c>
      <c r="M226" s="85">
        <f t="shared" si="47"/>
        <v>0</v>
      </c>
      <c r="N226" s="85">
        <f t="shared" si="47"/>
        <v>0</v>
      </c>
      <c r="O226" s="85">
        <f t="shared" si="47"/>
        <v>0</v>
      </c>
      <c r="P226" s="85">
        <f t="shared" si="47"/>
        <v>0</v>
      </c>
    </row>
    <row r="227" spans="1:16" hidden="1">
      <c r="A227" s="19"/>
      <c r="B227" s="25">
        <v>100</v>
      </c>
      <c r="C227" s="25">
        <v>4000</v>
      </c>
      <c r="D227" s="25">
        <v>7800</v>
      </c>
      <c r="E227" s="25">
        <v>250</v>
      </c>
      <c r="F227" s="25"/>
      <c r="G227" s="25" t="s">
        <v>52</v>
      </c>
      <c r="H227" s="58">
        <f>+Payroll!M87</f>
        <v>0</v>
      </c>
      <c r="I227" s="1" t="str">
        <f t="shared" si="49"/>
        <v/>
      </c>
      <c r="M227" s="85">
        <f t="shared" si="47"/>
        <v>0</v>
      </c>
      <c r="N227" s="85">
        <f t="shared" si="47"/>
        <v>0</v>
      </c>
      <c r="O227" s="85">
        <f t="shared" si="47"/>
        <v>0</v>
      </c>
      <c r="P227" s="85">
        <f t="shared" si="47"/>
        <v>0</v>
      </c>
    </row>
    <row r="228" spans="1:16">
      <c r="A228" s="19"/>
      <c r="B228" s="31">
        <f>+'Expense Input'!B41</f>
        <v>493</v>
      </c>
      <c r="C228" s="31">
        <f>+'Expense Input'!C41</f>
        <v>4000</v>
      </c>
      <c r="D228" s="31">
        <f>+'Expense Input'!D41</f>
        <v>7800</v>
      </c>
      <c r="E228" s="31">
        <f>+'Expense Input'!E41</f>
        <v>310</v>
      </c>
      <c r="F228" s="31"/>
      <c r="G228" s="31" t="str">
        <f>+'Expense Input'!F41</f>
        <v>Transportation - Contracted Services</v>
      </c>
      <c r="H228" s="58">
        <f>+'Expense Input'!M41</f>
        <v>10608</v>
      </c>
      <c r="I228" s="1" t="str">
        <f t="shared" ref="I228" si="50">IF(SUM(H228)&gt;0.49,"*","")</f>
        <v>*</v>
      </c>
      <c r="K228" s="8"/>
      <c r="M228" s="85">
        <f t="shared" si="47"/>
        <v>0</v>
      </c>
      <c r="N228" s="85">
        <f t="shared" si="47"/>
        <v>0</v>
      </c>
      <c r="O228" s="85">
        <f t="shared" si="47"/>
        <v>10608</v>
      </c>
      <c r="P228" s="85">
        <f t="shared" si="47"/>
        <v>0</v>
      </c>
    </row>
    <row r="229" spans="1:16">
      <c r="A229" s="19"/>
      <c r="B229" s="31">
        <f>+'Expense Input'!B42</f>
        <v>100</v>
      </c>
      <c r="C229" s="31">
        <f>+'Expense Input'!C42</f>
        <v>4000</v>
      </c>
      <c r="D229" s="31">
        <f>+'Expense Input'!D42</f>
        <v>7800</v>
      </c>
      <c r="E229" s="31">
        <f>+'Expense Input'!E42</f>
        <v>350</v>
      </c>
      <c r="F229" s="31"/>
      <c r="G229" s="31" t="str">
        <f>+'Expense Input'!F42</f>
        <v>Transportation - Contracted Services</v>
      </c>
      <c r="H229" s="58">
        <f>+'Expense Input'!M42</f>
        <v>9395.2093750000004</v>
      </c>
      <c r="I229" s="1" t="str">
        <f t="shared" ref="I229" si="51">IF(SUM(H229)&gt;0.49,"*","")</f>
        <v>*</v>
      </c>
      <c r="K229" s="8"/>
      <c r="M229" s="85">
        <f t="shared" si="47"/>
        <v>9395.2093750000004</v>
      </c>
      <c r="N229" s="85">
        <f t="shared" si="47"/>
        <v>0</v>
      </c>
      <c r="O229" s="85">
        <f t="shared" si="47"/>
        <v>0</v>
      </c>
      <c r="P229" s="85">
        <f t="shared" si="47"/>
        <v>0</v>
      </c>
    </row>
    <row r="230" spans="1:16">
      <c r="A230" s="19"/>
      <c r="B230" s="31">
        <f>+'Expense Input'!B43</f>
        <v>100</v>
      </c>
      <c r="C230" s="31">
        <f>+'Expense Input'!C43</f>
        <v>4000</v>
      </c>
      <c r="D230" s="31">
        <f>+'Expense Input'!D43</f>
        <v>7800</v>
      </c>
      <c r="E230" s="31">
        <f>+'Expense Input'!E43</f>
        <v>550</v>
      </c>
      <c r="F230" s="31"/>
      <c r="G230" s="31" t="str">
        <f>+'Expense Input'!F43</f>
        <v>Transportation - Repair</v>
      </c>
      <c r="H230" s="58">
        <f>+'Expense Input'!M43</f>
        <v>2135.8975</v>
      </c>
      <c r="I230" s="1" t="str">
        <f t="shared" si="49"/>
        <v>*</v>
      </c>
      <c r="K230" s="8"/>
      <c r="M230" s="85">
        <f t="shared" si="47"/>
        <v>2135.8975</v>
      </c>
      <c r="N230" s="85">
        <f t="shared" si="47"/>
        <v>0</v>
      </c>
      <c r="O230" s="85">
        <f t="shared" si="47"/>
        <v>0</v>
      </c>
      <c r="P230" s="85">
        <f t="shared" si="47"/>
        <v>0</v>
      </c>
    </row>
    <row r="231" spans="1:16" hidden="1">
      <c r="A231" s="19"/>
      <c r="B231" s="31">
        <f>+'Expense Input'!B44</f>
        <v>100</v>
      </c>
      <c r="C231" s="31">
        <f>+'Expense Input'!C44</f>
        <v>4000</v>
      </c>
      <c r="D231" s="31">
        <f>+'Expense Input'!D44</f>
        <v>7800</v>
      </c>
      <c r="E231" s="31">
        <f>+'Expense Input'!E44</f>
        <v>640</v>
      </c>
      <c r="F231" s="31"/>
      <c r="G231" s="31" t="str">
        <f>+'Expense Input'!F44</f>
        <v>Transportation - Other Vehicles</v>
      </c>
      <c r="H231" s="58">
        <f>+'Expense Input'!M44</f>
        <v>0</v>
      </c>
      <c r="I231" s="1" t="str">
        <f t="shared" si="49"/>
        <v/>
      </c>
      <c r="M231" s="85">
        <f t="shared" si="47"/>
        <v>0</v>
      </c>
      <c r="N231" s="85">
        <f t="shared" si="47"/>
        <v>0</v>
      </c>
      <c r="O231" s="85">
        <f t="shared" si="47"/>
        <v>0</v>
      </c>
      <c r="P231" s="85">
        <f t="shared" si="47"/>
        <v>0</v>
      </c>
    </row>
    <row r="232" spans="1:16" hidden="1">
      <c r="A232" s="19"/>
      <c r="B232" s="31">
        <f>+'Expense Input'!B45</f>
        <v>360</v>
      </c>
      <c r="C232" s="31">
        <f>+'Expense Input'!C45</f>
        <v>4000</v>
      </c>
      <c r="D232" s="31">
        <f>+'Expense Input'!D45</f>
        <v>7800</v>
      </c>
      <c r="E232" s="31">
        <f>+'Expense Input'!E45</f>
        <v>640</v>
      </c>
      <c r="F232" s="31"/>
      <c r="G232" s="31" t="str">
        <f>+'Expense Input'!F45</f>
        <v>Transportation - Other Vehicles</v>
      </c>
      <c r="H232" s="58">
        <f>+'Expense Input'!M45</f>
        <v>0</v>
      </c>
      <c r="I232" s="1" t="str">
        <f t="shared" ref="I232" si="52">IF(SUM(H232)&gt;0.49,"*","")</f>
        <v/>
      </c>
      <c r="M232" s="85">
        <f t="shared" si="47"/>
        <v>0</v>
      </c>
      <c r="N232" s="85">
        <f t="shared" si="47"/>
        <v>0</v>
      </c>
      <c r="O232" s="85">
        <f t="shared" si="47"/>
        <v>0</v>
      </c>
      <c r="P232" s="85">
        <f t="shared" si="47"/>
        <v>0</v>
      </c>
    </row>
    <row r="233" spans="1:16">
      <c r="A233" s="19"/>
      <c r="B233" s="31">
        <f>+'Expense Input'!B46</f>
        <v>493</v>
      </c>
      <c r="C233" s="31">
        <f>+'Expense Input'!C46</f>
        <v>4000</v>
      </c>
      <c r="D233" s="31">
        <f>+'Expense Input'!D46</f>
        <v>7800</v>
      </c>
      <c r="E233" s="31" t="str">
        <f>+'Expense Input'!E46</f>
        <v>652</v>
      </c>
      <c r="F233" s="31"/>
      <c r="G233" s="31" t="str">
        <f>+'Expense Input'!F46</f>
        <v>Transportation - Other Vehicles</v>
      </c>
      <c r="H233" s="58">
        <f>+'Expense Input'!M46</f>
        <v>12006.64</v>
      </c>
      <c r="I233" s="1" t="str">
        <f t="shared" si="49"/>
        <v>*</v>
      </c>
      <c r="M233" s="85">
        <f t="shared" si="47"/>
        <v>0</v>
      </c>
      <c r="N233" s="85">
        <f t="shared" si="47"/>
        <v>0</v>
      </c>
      <c r="O233" s="85">
        <f t="shared" si="47"/>
        <v>12006.64</v>
      </c>
      <c r="P233" s="85">
        <f t="shared" si="47"/>
        <v>0</v>
      </c>
    </row>
    <row r="234" spans="1:16" hidden="1">
      <c r="A234" s="19"/>
      <c r="B234" s="31">
        <f>+'Expense Input'!B47</f>
        <v>100</v>
      </c>
      <c r="C234" s="31">
        <f>+'Expense Input'!C47</f>
        <v>4000</v>
      </c>
      <c r="D234" s="31">
        <f>+'Expense Input'!D47</f>
        <v>7800</v>
      </c>
      <c r="E234" s="31">
        <f>+'Expense Input'!E47</f>
        <v>730</v>
      </c>
      <c r="F234" s="31"/>
      <c r="G234" s="31" t="str">
        <f>+'Expense Input'!F47</f>
        <v>Transportation - Other</v>
      </c>
      <c r="H234" s="58">
        <f>+'Expense Input'!M47</f>
        <v>0</v>
      </c>
      <c r="I234" s="1" t="str">
        <f t="shared" si="49"/>
        <v/>
      </c>
      <c r="M234" s="85">
        <f t="shared" si="47"/>
        <v>0</v>
      </c>
      <c r="N234" s="85">
        <f t="shared" si="47"/>
        <v>0</v>
      </c>
      <c r="O234" s="85">
        <f t="shared" si="47"/>
        <v>0</v>
      </c>
      <c r="P234" s="85">
        <f t="shared" si="47"/>
        <v>0</v>
      </c>
    </row>
    <row r="235" spans="1:16" hidden="1">
      <c r="A235" s="19"/>
      <c r="B235" s="31"/>
      <c r="C235" s="31"/>
      <c r="D235" s="31"/>
      <c r="E235" s="31"/>
      <c r="F235" s="31"/>
      <c r="G235" s="31"/>
      <c r="H235" s="58"/>
      <c r="I235" s="1" t="str">
        <f t="shared" si="49"/>
        <v/>
      </c>
      <c r="M235" s="85">
        <f t="shared" si="47"/>
        <v>0</v>
      </c>
      <c r="N235" s="85">
        <f t="shared" si="47"/>
        <v>0</v>
      </c>
      <c r="O235" s="85">
        <f t="shared" si="47"/>
        <v>0</v>
      </c>
      <c r="P235" s="85">
        <f t="shared" si="47"/>
        <v>0</v>
      </c>
    </row>
    <row r="236" spans="1:16" hidden="1">
      <c r="A236" s="19"/>
      <c r="B236" s="25"/>
      <c r="C236" s="25"/>
      <c r="D236" s="25"/>
      <c r="E236" s="25"/>
      <c r="F236" s="25"/>
      <c r="G236" s="25"/>
      <c r="H236" s="58"/>
      <c r="I236" s="1" t="str">
        <f t="shared" si="49"/>
        <v/>
      </c>
      <c r="M236" s="85">
        <f t="shared" si="47"/>
        <v>0</v>
      </c>
      <c r="N236" s="85">
        <f t="shared" si="47"/>
        <v>0</v>
      </c>
      <c r="O236" s="85">
        <f t="shared" si="47"/>
        <v>0</v>
      </c>
      <c r="P236" s="85">
        <f t="shared" si="47"/>
        <v>0</v>
      </c>
    </row>
    <row r="237" spans="1:16" hidden="1">
      <c r="A237" s="19"/>
      <c r="B237" s="25"/>
      <c r="C237" s="25"/>
      <c r="D237" s="25"/>
      <c r="E237" s="25"/>
      <c r="F237" s="25"/>
      <c r="G237" s="25"/>
      <c r="H237" s="58"/>
      <c r="I237" s="1" t="str">
        <f t="shared" si="49"/>
        <v/>
      </c>
      <c r="M237" s="85">
        <f t="shared" si="47"/>
        <v>0</v>
      </c>
      <c r="N237" s="85">
        <f t="shared" si="47"/>
        <v>0</v>
      </c>
      <c r="O237" s="85">
        <f t="shared" si="47"/>
        <v>0</v>
      </c>
      <c r="P237" s="85">
        <f t="shared" si="47"/>
        <v>0</v>
      </c>
    </row>
    <row r="238" spans="1:16" hidden="1">
      <c r="A238" s="19"/>
      <c r="B238" s="25"/>
      <c r="C238" s="25"/>
      <c r="D238" s="25"/>
      <c r="E238" s="25"/>
      <c r="F238" s="25"/>
      <c r="G238" s="25"/>
      <c r="H238" s="58"/>
      <c r="I238" s="1" t="str">
        <f t="shared" si="49"/>
        <v/>
      </c>
      <c r="M238" s="85">
        <f t="shared" si="47"/>
        <v>0</v>
      </c>
      <c r="N238" s="85">
        <f t="shared" si="47"/>
        <v>0</v>
      </c>
      <c r="O238" s="85">
        <f t="shared" si="47"/>
        <v>0</v>
      </c>
      <c r="P238" s="85">
        <f t="shared" si="47"/>
        <v>0</v>
      </c>
    </row>
    <row r="239" spans="1:16" hidden="1">
      <c r="A239" s="19"/>
      <c r="B239" s="25"/>
      <c r="C239" s="25"/>
      <c r="D239" s="25"/>
      <c r="E239" s="25"/>
      <c r="F239" s="25"/>
      <c r="G239" s="25"/>
      <c r="H239" s="58"/>
      <c r="I239" s="1" t="str">
        <f t="shared" si="49"/>
        <v/>
      </c>
      <c r="M239" s="85">
        <f t="shared" si="47"/>
        <v>0</v>
      </c>
      <c r="N239" s="85">
        <f t="shared" si="47"/>
        <v>0</v>
      </c>
      <c r="O239" s="85">
        <f t="shared" si="47"/>
        <v>0</v>
      </c>
      <c r="P239" s="85">
        <f t="shared" si="47"/>
        <v>0</v>
      </c>
    </row>
    <row r="240" spans="1:16" hidden="1">
      <c r="A240" s="19"/>
      <c r="B240" s="25"/>
      <c r="C240" s="25"/>
      <c r="D240" s="25"/>
      <c r="E240" s="25"/>
      <c r="F240" s="25"/>
      <c r="G240" s="25"/>
      <c r="H240" s="58"/>
      <c r="I240" s="1" t="str">
        <f t="shared" si="49"/>
        <v/>
      </c>
      <c r="M240" s="85">
        <f t="shared" si="47"/>
        <v>0</v>
      </c>
      <c r="N240" s="85">
        <f t="shared" si="47"/>
        <v>0</v>
      </c>
      <c r="O240" s="85">
        <f t="shared" si="47"/>
        <v>0</v>
      </c>
      <c r="P240" s="85">
        <f t="shared" si="47"/>
        <v>0</v>
      </c>
    </row>
    <row r="241" spans="1:16" hidden="1">
      <c r="A241" s="19"/>
      <c r="B241" s="25"/>
      <c r="C241" s="25"/>
      <c r="D241" s="25"/>
      <c r="E241" s="25"/>
      <c r="F241" s="25"/>
      <c r="G241" s="25"/>
      <c r="H241" s="24"/>
      <c r="I241" s="1" t="str">
        <f t="shared" si="49"/>
        <v/>
      </c>
      <c r="M241" s="85">
        <f t="shared" si="47"/>
        <v>0</v>
      </c>
      <c r="N241" s="85">
        <f t="shared" si="47"/>
        <v>0</v>
      </c>
      <c r="O241" s="85">
        <f t="shared" si="47"/>
        <v>0</v>
      </c>
      <c r="P241" s="85">
        <f t="shared" si="47"/>
        <v>0</v>
      </c>
    </row>
    <row r="242" spans="1:16">
      <c r="A242" s="19"/>
      <c r="B242" s="31"/>
      <c r="C242" s="31"/>
      <c r="D242" s="31"/>
      <c r="E242" s="31"/>
      <c r="F242" s="31"/>
      <c r="G242" s="31"/>
      <c r="H242" s="115"/>
      <c r="I242" s="1" t="str">
        <f>IF(I243="*","*","")</f>
        <v>*</v>
      </c>
      <c r="M242" s="85">
        <f t="shared" si="47"/>
        <v>0</v>
      </c>
      <c r="N242" s="85">
        <f t="shared" si="47"/>
        <v>0</v>
      </c>
      <c r="O242" s="85">
        <f t="shared" si="47"/>
        <v>0</v>
      </c>
      <c r="P242" s="85">
        <f t="shared" si="47"/>
        <v>0</v>
      </c>
    </row>
    <row r="243" spans="1:16">
      <c r="A243" s="19"/>
      <c r="B243" s="31"/>
      <c r="C243" s="31"/>
      <c r="D243" s="31"/>
      <c r="E243" s="31"/>
      <c r="F243" s="116"/>
      <c r="G243" s="66" t="s">
        <v>41</v>
      </c>
      <c r="H243" s="117">
        <f>SUM(H222:H242)</f>
        <v>34145.746874999997</v>
      </c>
      <c r="I243" s="1" t="str">
        <f>IF(SUM(H243)&gt;0.49,"*","")</f>
        <v>*</v>
      </c>
      <c r="M243" s="85">
        <f t="shared" ref="M243:P277" si="53">IF($B243=M$14,$H243,0)</f>
        <v>0</v>
      </c>
      <c r="N243" s="85">
        <f t="shared" si="53"/>
        <v>0</v>
      </c>
      <c r="O243" s="85">
        <f t="shared" si="53"/>
        <v>0</v>
      </c>
      <c r="P243" s="85">
        <f t="shared" si="53"/>
        <v>0</v>
      </c>
    </row>
    <row r="244" spans="1:16">
      <c r="A244" s="19"/>
      <c r="B244" s="31"/>
      <c r="C244" s="31"/>
      <c r="D244" s="31"/>
      <c r="E244" s="31"/>
      <c r="F244" s="64"/>
      <c r="G244" s="118"/>
      <c r="H244" s="21"/>
      <c r="I244" s="1" t="str">
        <f>IF(I243="*","*","")</f>
        <v>*</v>
      </c>
      <c r="M244" s="85">
        <f t="shared" si="53"/>
        <v>0</v>
      </c>
      <c r="N244" s="85">
        <f t="shared" si="53"/>
        <v>0</v>
      </c>
      <c r="O244" s="85">
        <f t="shared" si="53"/>
        <v>0</v>
      </c>
      <c r="P244" s="85">
        <f t="shared" si="53"/>
        <v>0</v>
      </c>
    </row>
    <row r="245" spans="1:16" hidden="1">
      <c r="A245" s="19"/>
      <c r="B245" s="25">
        <v>100</v>
      </c>
      <c r="C245" s="25">
        <v>4000</v>
      </c>
      <c r="D245" s="25">
        <v>7900</v>
      </c>
      <c r="E245" s="25">
        <v>160</v>
      </c>
      <c r="F245" s="25"/>
      <c r="G245" s="25" t="s">
        <v>65</v>
      </c>
      <c r="H245" s="58">
        <f>+Payroll!F94</f>
        <v>0</v>
      </c>
      <c r="I245" s="1" t="str">
        <f t="shared" ref="I245:I261" si="54">IF(SUM(H245)&gt;0.49,"*","")</f>
        <v/>
      </c>
      <c r="M245" s="85">
        <f t="shared" si="53"/>
        <v>0</v>
      </c>
      <c r="N245" s="85">
        <f t="shared" si="53"/>
        <v>0</v>
      </c>
      <c r="O245" s="85">
        <f t="shared" si="53"/>
        <v>0</v>
      </c>
      <c r="P245" s="85">
        <f t="shared" si="53"/>
        <v>0</v>
      </c>
    </row>
    <row r="246" spans="1:16" hidden="1">
      <c r="A246" s="19"/>
      <c r="B246" s="25">
        <v>100</v>
      </c>
      <c r="C246" s="25">
        <v>4000</v>
      </c>
      <c r="D246" s="25">
        <v>7900</v>
      </c>
      <c r="E246" s="25">
        <v>210</v>
      </c>
      <c r="F246" s="25"/>
      <c r="G246" s="25" t="s">
        <v>48</v>
      </c>
      <c r="H246" s="58">
        <f>+Payroll!G94</f>
        <v>0</v>
      </c>
      <c r="I246" s="1" t="str">
        <f t="shared" si="54"/>
        <v/>
      </c>
      <c r="M246" s="85">
        <f t="shared" si="53"/>
        <v>0</v>
      </c>
      <c r="N246" s="85">
        <f t="shared" si="53"/>
        <v>0</v>
      </c>
      <c r="O246" s="85">
        <f t="shared" si="53"/>
        <v>0</v>
      </c>
      <c r="P246" s="85">
        <f t="shared" si="53"/>
        <v>0</v>
      </c>
    </row>
    <row r="247" spans="1:16" hidden="1">
      <c r="A247" s="19"/>
      <c r="B247" s="25">
        <v>100</v>
      </c>
      <c r="C247" s="25">
        <v>4000</v>
      </c>
      <c r="D247" s="25">
        <v>7900</v>
      </c>
      <c r="E247" s="25">
        <v>220</v>
      </c>
      <c r="F247" s="25"/>
      <c r="G247" s="25" t="s">
        <v>49</v>
      </c>
      <c r="H247" s="58">
        <f>+Payroll!I94</f>
        <v>0</v>
      </c>
      <c r="I247" s="1" t="str">
        <f t="shared" si="54"/>
        <v/>
      </c>
      <c r="M247" s="85">
        <f t="shared" si="53"/>
        <v>0</v>
      </c>
      <c r="N247" s="85">
        <f t="shared" si="53"/>
        <v>0</v>
      </c>
      <c r="O247" s="85">
        <f t="shared" si="53"/>
        <v>0</v>
      </c>
      <c r="P247" s="85">
        <f t="shared" si="53"/>
        <v>0</v>
      </c>
    </row>
    <row r="248" spans="1:16" hidden="1">
      <c r="A248" s="19"/>
      <c r="B248" s="25">
        <v>100</v>
      </c>
      <c r="C248" s="25">
        <v>4000</v>
      </c>
      <c r="D248" s="25">
        <v>7900</v>
      </c>
      <c r="E248" s="25">
        <v>230</v>
      </c>
      <c r="F248" s="25"/>
      <c r="G248" s="25" t="s">
        <v>50</v>
      </c>
      <c r="H248" s="58">
        <f>+Payroll!J94</f>
        <v>0</v>
      </c>
      <c r="I248" s="1" t="str">
        <f t="shared" si="54"/>
        <v/>
      </c>
      <c r="M248" s="85">
        <f t="shared" si="53"/>
        <v>0</v>
      </c>
      <c r="N248" s="85">
        <f t="shared" si="53"/>
        <v>0</v>
      </c>
      <c r="O248" s="85">
        <f t="shared" si="53"/>
        <v>0</v>
      </c>
      <c r="P248" s="85">
        <f t="shared" si="53"/>
        <v>0</v>
      </c>
    </row>
    <row r="249" spans="1:16" hidden="1">
      <c r="A249" s="19"/>
      <c r="B249" s="25">
        <v>100</v>
      </c>
      <c r="C249" s="25">
        <v>4000</v>
      </c>
      <c r="D249" s="25">
        <v>7900</v>
      </c>
      <c r="E249" s="25">
        <v>240</v>
      </c>
      <c r="F249" s="25"/>
      <c r="G249" s="25" t="s">
        <v>51</v>
      </c>
      <c r="H249" s="58">
        <f>+Payroll!L94</f>
        <v>0</v>
      </c>
      <c r="I249" s="1" t="str">
        <f t="shared" si="54"/>
        <v/>
      </c>
      <c r="M249" s="85">
        <f t="shared" si="53"/>
        <v>0</v>
      </c>
      <c r="N249" s="85">
        <f t="shared" si="53"/>
        <v>0</v>
      </c>
      <c r="O249" s="85">
        <f t="shared" si="53"/>
        <v>0</v>
      </c>
      <c r="P249" s="85">
        <f t="shared" si="53"/>
        <v>0</v>
      </c>
    </row>
    <row r="250" spans="1:16" hidden="1">
      <c r="A250" s="19"/>
      <c r="B250" s="25">
        <v>100</v>
      </c>
      <c r="C250" s="25">
        <v>4000</v>
      </c>
      <c r="D250" s="25">
        <v>7900</v>
      </c>
      <c r="E250" s="25">
        <v>250</v>
      </c>
      <c r="F250" s="25"/>
      <c r="G250" s="25" t="s">
        <v>52</v>
      </c>
      <c r="H250" s="58">
        <f>+Payroll!M94</f>
        <v>0</v>
      </c>
      <c r="I250" s="1" t="str">
        <f t="shared" si="54"/>
        <v/>
      </c>
      <c r="M250" s="85">
        <f t="shared" si="53"/>
        <v>0</v>
      </c>
      <c r="N250" s="85">
        <f t="shared" si="53"/>
        <v>0</v>
      </c>
      <c r="O250" s="85">
        <f t="shared" si="53"/>
        <v>0</v>
      </c>
      <c r="P250" s="85">
        <f t="shared" si="53"/>
        <v>0</v>
      </c>
    </row>
    <row r="251" spans="1:16">
      <c r="A251" s="19"/>
      <c r="B251" s="31">
        <f>'Expense Input'!B48</f>
        <v>100</v>
      </c>
      <c r="C251" s="31">
        <f>'Expense Input'!C48</f>
        <v>4000</v>
      </c>
      <c r="D251" s="31">
        <f>'Expense Input'!D48</f>
        <v>7900</v>
      </c>
      <c r="E251" s="31" t="str">
        <f>'Expense Input'!E48</f>
        <v>310</v>
      </c>
      <c r="F251" s="31"/>
      <c r="G251" s="31" t="str">
        <f>'Expense Input'!F48</f>
        <v>Contracted Security Services</v>
      </c>
      <c r="H251" s="58">
        <f>+'Expense Input'!M48</f>
        <v>35600</v>
      </c>
      <c r="I251" s="1" t="str">
        <f t="shared" ref="I251" si="55">IF(SUM(H251)&gt;0.49,"*","")</f>
        <v>*</v>
      </c>
      <c r="K251" s="8"/>
      <c r="M251" s="85">
        <f t="shared" si="53"/>
        <v>35600</v>
      </c>
      <c r="N251" s="85">
        <f t="shared" si="53"/>
        <v>0</v>
      </c>
      <c r="O251" s="85">
        <f t="shared" si="53"/>
        <v>0</v>
      </c>
      <c r="P251" s="85">
        <f t="shared" si="53"/>
        <v>0</v>
      </c>
    </row>
    <row r="252" spans="1:16">
      <c r="A252" s="19"/>
      <c r="B252" s="31">
        <f>'Expense Input'!B49</f>
        <v>100</v>
      </c>
      <c r="C252" s="31">
        <f>'Expense Input'!C49</f>
        <v>4000</v>
      </c>
      <c r="D252" s="31">
        <f>'Expense Input'!D49</f>
        <v>7900</v>
      </c>
      <c r="E252" s="31">
        <f>'Expense Input'!E49</f>
        <v>320</v>
      </c>
      <c r="F252" s="31"/>
      <c r="G252" s="31" t="str">
        <f>'Expense Input'!F49</f>
        <v>Insurance</v>
      </c>
      <c r="H252" s="58">
        <f>+'Expense Input'!M49</f>
        <v>7057.619999999999</v>
      </c>
      <c r="I252" s="1" t="str">
        <f t="shared" si="54"/>
        <v>*</v>
      </c>
      <c r="K252" s="8"/>
      <c r="M252" s="85">
        <f t="shared" si="53"/>
        <v>7057.619999999999</v>
      </c>
      <c r="N252" s="85">
        <f t="shared" si="53"/>
        <v>0</v>
      </c>
      <c r="O252" s="85">
        <f t="shared" si="53"/>
        <v>0</v>
      </c>
      <c r="P252" s="85">
        <f t="shared" si="53"/>
        <v>0</v>
      </c>
    </row>
    <row r="253" spans="1:16">
      <c r="A253" s="19"/>
      <c r="B253" s="31">
        <f>'Expense Input'!B50</f>
        <v>360</v>
      </c>
      <c r="C253" s="31">
        <f>'Expense Input'!C50</f>
        <v>4000</v>
      </c>
      <c r="D253" s="31">
        <f>'Expense Input'!D50</f>
        <v>7900</v>
      </c>
      <c r="E253" s="31">
        <f>'Expense Input'!E50</f>
        <v>320</v>
      </c>
      <c r="F253" s="31"/>
      <c r="G253" s="31" t="str">
        <f>'Expense Input'!F50</f>
        <v>Insurance</v>
      </c>
      <c r="H253" s="58">
        <f>+'Expense Input'!M50</f>
        <v>20089.38</v>
      </c>
      <c r="I253" s="1" t="str">
        <f t="shared" ref="I253" si="56">IF(SUM(H253)&gt;0.49,"*","")</f>
        <v>*</v>
      </c>
      <c r="K253" s="8"/>
      <c r="M253" s="85">
        <f t="shared" si="53"/>
        <v>0</v>
      </c>
      <c r="N253" s="85">
        <f t="shared" si="53"/>
        <v>20089.38</v>
      </c>
      <c r="O253" s="85">
        <f t="shared" si="53"/>
        <v>0</v>
      </c>
      <c r="P253" s="85">
        <f t="shared" si="53"/>
        <v>0</v>
      </c>
    </row>
    <row r="254" spans="1:16" hidden="1">
      <c r="A254" s="19"/>
      <c r="B254" s="31">
        <f>'Expense Input'!B51</f>
        <v>100</v>
      </c>
      <c r="C254" s="31">
        <f>'Expense Input'!C51</f>
        <v>4000</v>
      </c>
      <c r="D254" s="31">
        <f>'Expense Input'!D51</f>
        <v>7900</v>
      </c>
      <c r="E254" s="31">
        <f>'Expense Input'!E51</f>
        <v>360</v>
      </c>
      <c r="F254" s="31"/>
      <c r="G254" s="31" t="str">
        <f>'Expense Input'!F51</f>
        <v>Facility Lease</v>
      </c>
      <c r="H254" s="58">
        <f>+'Expense Input'!M51</f>
        <v>0</v>
      </c>
      <c r="I254" s="1" t="str">
        <f t="shared" si="54"/>
        <v/>
      </c>
      <c r="K254" s="8"/>
      <c r="M254" s="85">
        <f t="shared" si="53"/>
        <v>0</v>
      </c>
      <c r="N254" s="85">
        <f t="shared" si="53"/>
        <v>0</v>
      </c>
      <c r="O254" s="85">
        <f t="shared" si="53"/>
        <v>0</v>
      </c>
      <c r="P254" s="85">
        <f t="shared" si="53"/>
        <v>0</v>
      </c>
    </row>
    <row r="255" spans="1:16" hidden="1">
      <c r="A255" s="19"/>
      <c r="B255" s="31">
        <f>'Expense Input'!B52</f>
        <v>360</v>
      </c>
      <c r="C255" s="31">
        <f>'Expense Input'!C52</f>
        <v>4000</v>
      </c>
      <c r="D255" s="31">
        <f>'Expense Input'!D52</f>
        <v>7900</v>
      </c>
      <c r="E255" s="31">
        <f>'Expense Input'!E52</f>
        <v>360</v>
      </c>
      <c r="F255" s="31"/>
      <c r="G255" s="31" t="str">
        <f>'Expense Input'!F52</f>
        <v>Facility Lease</v>
      </c>
      <c r="H255" s="58">
        <f>+'Expense Input'!M52</f>
        <v>0</v>
      </c>
      <c r="I255" s="1" t="str">
        <f t="shared" si="54"/>
        <v/>
      </c>
      <c r="M255" s="85">
        <f t="shared" si="53"/>
        <v>0</v>
      </c>
      <c r="N255" s="85">
        <f t="shared" si="53"/>
        <v>0</v>
      </c>
      <c r="O255" s="85">
        <f t="shared" si="53"/>
        <v>0</v>
      </c>
      <c r="P255" s="85">
        <f t="shared" si="53"/>
        <v>0</v>
      </c>
    </row>
    <row r="256" spans="1:16">
      <c r="A256" s="19"/>
      <c r="B256" s="31">
        <f>'Expense Input'!B53</f>
        <v>493</v>
      </c>
      <c r="C256" s="31">
        <f>'Expense Input'!C53</f>
        <v>4000</v>
      </c>
      <c r="D256" s="31">
        <f>'Expense Input'!D53</f>
        <v>7900</v>
      </c>
      <c r="E256" s="31">
        <f>'Expense Input'!E53</f>
        <v>360</v>
      </c>
      <c r="F256" s="31"/>
      <c r="G256" s="31" t="str">
        <f>'Expense Input'!F53</f>
        <v>Facility Lease</v>
      </c>
      <c r="H256" s="58">
        <f>+'Expense Input'!M53</f>
        <v>89800</v>
      </c>
      <c r="I256" s="1" t="str">
        <f t="shared" si="54"/>
        <v>*</v>
      </c>
      <c r="M256" s="85">
        <f t="shared" si="53"/>
        <v>0</v>
      </c>
      <c r="N256" s="85">
        <f t="shared" si="53"/>
        <v>0</v>
      </c>
      <c r="O256" s="85">
        <f t="shared" si="53"/>
        <v>89800</v>
      </c>
      <c r="P256" s="85">
        <f t="shared" si="53"/>
        <v>0</v>
      </c>
    </row>
    <row r="257" spans="1:16">
      <c r="A257" s="19"/>
      <c r="B257" s="31">
        <f>'Expense Input'!B54</f>
        <v>100</v>
      </c>
      <c r="C257" s="31">
        <f>'Expense Input'!C54</f>
        <v>4000</v>
      </c>
      <c r="D257" s="31">
        <f>'Expense Input'!D54</f>
        <v>7900</v>
      </c>
      <c r="E257" s="31" t="str">
        <f>'Expense Input'!E54</f>
        <v>379</v>
      </c>
      <c r="F257" s="31"/>
      <c r="G257" s="31" t="str">
        <f>'Expense Input'!F54</f>
        <v>Communications</v>
      </c>
      <c r="H257" s="58">
        <f>+'Expense Input'!M54</f>
        <v>4044.04</v>
      </c>
      <c r="I257" s="1" t="str">
        <f t="shared" si="54"/>
        <v>*</v>
      </c>
      <c r="M257" s="85">
        <f t="shared" si="53"/>
        <v>4044.04</v>
      </c>
      <c r="N257" s="85">
        <f t="shared" si="53"/>
        <v>0</v>
      </c>
      <c r="O257" s="85">
        <f t="shared" si="53"/>
        <v>0</v>
      </c>
      <c r="P257" s="85">
        <f t="shared" si="53"/>
        <v>0</v>
      </c>
    </row>
    <row r="258" spans="1:16">
      <c r="A258" s="19"/>
      <c r="B258" s="31">
        <f>'Expense Input'!B55</f>
        <v>100</v>
      </c>
      <c r="C258" s="31">
        <f>'Expense Input'!C55</f>
        <v>4000</v>
      </c>
      <c r="D258" s="31">
        <f>'Expense Input'!D55</f>
        <v>7900</v>
      </c>
      <c r="E258" s="31">
        <f>'Expense Input'!E55</f>
        <v>380</v>
      </c>
      <c r="F258" s="31"/>
      <c r="G258" s="31" t="str">
        <f>'Expense Input'!F55</f>
        <v>Water/ Sewer/ Garbage Collection</v>
      </c>
      <c r="H258" s="58">
        <f>+'Expense Input'!M55</f>
        <v>3623.0229428571424</v>
      </c>
      <c r="I258" s="1" t="str">
        <f t="shared" si="54"/>
        <v>*</v>
      </c>
      <c r="M258" s="85">
        <f t="shared" si="53"/>
        <v>3623.0229428571424</v>
      </c>
      <c r="N258" s="85">
        <f t="shared" si="53"/>
        <v>0</v>
      </c>
      <c r="O258" s="85">
        <f t="shared" si="53"/>
        <v>0</v>
      </c>
      <c r="P258" s="85">
        <f t="shared" si="53"/>
        <v>0</v>
      </c>
    </row>
    <row r="259" spans="1:16">
      <c r="A259" s="19"/>
      <c r="B259" s="31">
        <f>'Expense Input'!B56</f>
        <v>100</v>
      </c>
      <c r="C259" s="31">
        <f>'Expense Input'!C56</f>
        <v>4000</v>
      </c>
      <c r="D259" s="31">
        <f>'Expense Input'!D56</f>
        <v>7900</v>
      </c>
      <c r="E259" s="31">
        <f>'Expense Input'!E56</f>
        <v>390</v>
      </c>
      <c r="F259" s="31"/>
      <c r="G259" s="31" t="str">
        <f>'Expense Input'!F56</f>
        <v>Other Contracted Bldg. Services</v>
      </c>
      <c r="H259" s="58">
        <f>+'Expense Input'!M56</f>
        <v>1027.5487499999999</v>
      </c>
      <c r="I259" s="1" t="str">
        <f t="shared" si="54"/>
        <v>*</v>
      </c>
      <c r="M259" s="85">
        <f t="shared" si="53"/>
        <v>1027.5487499999999</v>
      </c>
      <c r="N259" s="85">
        <f t="shared" si="53"/>
        <v>0</v>
      </c>
      <c r="O259" s="85">
        <f t="shared" si="53"/>
        <v>0</v>
      </c>
      <c r="P259" s="85">
        <f t="shared" si="53"/>
        <v>0</v>
      </c>
    </row>
    <row r="260" spans="1:16">
      <c r="A260" s="19"/>
      <c r="B260" s="31">
        <f>'Expense Input'!B57</f>
        <v>100</v>
      </c>
      <c r="C260" s="31">
        <f>'Expense Input'!C57</f>
        <v>4000</v>
      </c>
      <c r="D260" s="31">
        <f>'Expense Input'!D57</f>
        <v>7900</v>
      </c>
      <c r="E260" s="31">
        <f>'Expense Input'!E57</f>
        <v>430</v>
      </c>
      <c r="F260" s="31"/>
      <c r="G260" s="31" t="str">
        <f>'Expense Input'!F57</f>
        <v>Electricity</v>
      </c>
      <c r="H260" s="58">
        <f>+'Expense Input'!M57</f>
        <v>7021.3099199999988</v>
      </c>
      <c r="I260" s="1" t="str">
        <f t="shared" si="54"/>
        <v>*</v>
      </c>
      <c r="M260" s="85">
        <f t="shared" si="53"/>
        <v>7021.3099199999988</v>
      </c>
      <c r="N260" s="85">
        <f t="shared" si="53"/>
        <v>0</v>
      </c>
      <c r="O260" s="85">
        <f t="shared" si="53"/>
        <v>0</v>
      </c>
      <c r="P260" s="85">
        <f t="shared" si="53"/>
        <v>0</v>
      </c>
    </row>
    <row r="261" spans="1:16">
      <c r="A261" s="19"/>
      <c r="B261" s="31">
        <f>'Expense Input'!B58</f>
        <v>100</v>
      </c>
      <c r="C261" s="31">
        <f>'Expense Input'!C58</f>
        <v>4000</v>
      </c>
      <c r="D261" s="31">
        <f>'Expense Input'!D58</f>
        <v>7900</v>
      </c>
      <c r="E261" s="31">
        <f>'Expense Input'!E58</f>
        <v>510</v>
      </c>
      <c r="F261" s="31"/>
      <c r="G261" s="31" t="str">
        <f>'Expense Input'!F58</f>
        <v>Custodial Supplies</v>
      </c>
      <c r="H261" s="58">
        <f>+'Expense Input'!M58</f>
        <v>1744.1770800000004</v>
      </c>
      <c r="I261" s="1" t="str">
        <f t="shared" si="54"/>
        <v>*</v>
      </c>
      <c r="M261" s="85">
        <f t="shared" si="53"/>
        <v>1744.1770800000004</v>
      </c>
      <c r="N261" s="85">
        <f t="shared" si="53"/>
        <v>0</v>
      </c>
      <c r="O261" s="85">
        <f t="shared" si="53"/>
        <v>0</v>
      </c>
      <c r="P261" s="85">
        <f t="shared" si="53"/>
        <v>0</v>
      </c>
    </row>
    <row r="262" spans="1:16">
      <c r="A262" s="19"/>
      <c r="B262" s="25"/>
      <c r="C262" s="25"/>
      <c r="D262" s="25"/>
      <c r="E262" s="25"/>
      <c r="F262" s="25"/>
      <c r="G262" s="25"/>
      <c r="H262" s="26"/>
      <c r="I262" s="1" t="str">
        <f>IF(I263="*","*","")</f>
        <v>*</v>
      </c>
      <c r="M262" s="85">
        <f t="shared" si="53"/>
        <v>0</v>
      </c>
      <c r="N262" s="85">
        <f t="shared" si="53"/>
        <v>0</v>
      </c>
      <c r="O262" s="85">
        <f t="shared" si="53"/>
        <v>0</v>
      </c>
      <c r="P262" s="85">
        <f t="shared" si="53"/>
        <v>0</v>
      </c>
    </row>
    <row r="263" spans="1:16">
      <c r="A263" s="19"/>
      <c r="B263" s="25"/>
      <c r="C263" s="25"/>
      <c r="D263" s="25"/>
      <c r="E263" s="25"/>
      <c r="G263" s="16" t="s">
        <v>42</v>
      </c>
      <c r="H263" s="23">
        <f>SUM(H245:H262)</f>
        <v>170007.09869285714</v>
      </c>
      <c r="I263" s="1" t="str">
        <f>IF(SUM(H263)&gt;0.49,"*","")</f>
        <v>*</v>
      </c>
      <c r="M263" s="85">
        <f t="shared" si="53"/>
        <v>0</v>
      </c>
      <c r="N263" s="85">
        <f t="shared" si="53"/>
        <v>0</v>
      </c>
      <c r="O263" s="85">
        <f t="shared" si="53"/>
        <v>0</v>
      </c>
      <c r="P263" s="85">
        <f t="shared" si="53"/>
        <v>0</v>
      </c>
    </row>
    <row r="264" spans="1:16">
      <c r="A264" s="19"/>
      <c r="B264" s="25"/>
      <c r="C264" s="25"/>
      <c r="D264" s="25"/>
      <c r="E264" s="25"/>
      <c r="G264" s="16"/>
      <c r="H264" s="24"/>
      <c r="I264" s="1" t="str">
        <f>IF(I263="*","*","")</f>
        <v>*</v>
      </c>
      <c r="M264" s="85">
        <f t="shared" si="53"/>
        <v>0</v>
      </c>
      <c r="N264" s="85">
        <f t="shared" si="53"/>
        <v>0</v>
      </c>
      <c r="O264" s="85">
        <f t="shared" si="53"/>
        <v>0</v>
      </c>
      <c r="P264" s="85">
        <f t="shared" si="53"/>
        <v>0</v>
      </c>
    </row>
    <row r="265" spans="1:16">
      <c r="A265" s="19"/>
      <c r="B265" s="25">
        <f>'Expense Input'!B59</f>
        <v>100</v>
      </c>
      <c r="C265" s="25">
        <f>'Expense Input'!C59</f>
        <v>4000</v>
      </c>
      <c r="D265" s="25">
        <f>'Expense Input'!D59</f>
        <v>8100</v>
      </c>
      <c r="E265" s="25">
        <f>'Expense Input'!E59</f>
        <v>350</v>
      </c>
      <c r="F265" s="25"/>
      <c r="G265" s="25" t="str">
        <f>'Expense Input'!F59</f>
        <v>Repairs and Maintenance</v>
      </c>
      <c r="H265" s="24">
        <f>+'Expense Input'!M59</f>
        <v>8410.0766571428576</v>
      </c>
      <c r="I265" s="1" t="str">
        <f>IF(SUM(H265)&gt;0.49,"*","")</f>
        <v>*</v>
      </c>
      <c r="K265" s="8"/>
      <c r="M265" s="85">
        <f t="shared" si="53"/>
        <v>8410.0766571428576</v>
      </c>
      <c r="N265" s="85">
        <f t="shared" si="53"/>
        <v>0</v>
      </c>
      <c r="O265" s="85">
        <f t="shared" si="53"/>
        <v>0</v>
      </c>
      <c r="P265" s="85">
        <f t="shared" si="53"/>
        <v>0</v>
      </c>
    </row>
    <row r="266" spans="1:16" hidden="1">
      <c r="A266" s="19"/>
      <c r="B266" s="25">
        <f>'Expense Input'!B60</f>
        <v>360</v>
      </c>
      <c r="C266" s="25">
        <f>'Expense Input'!C60</f>
        <v>4000</v>
      </c>
      <c r="D266" s="25">
        <f>'Expense Input'!D60</f>
        <v>8100</v>
      </c>
      <c r="E266" s="25">
        <f>'Expense Input'!E60</f>
        <v>350</v>
      </c>
      <c r="F266" s="25"/>
      <c r="G266" s="25" t="str">
        <f>'Expense Input'!F60</f>
        <v>Repairs and Maintenance</v>
      </c>
      <c r="H266" s="24">
        <f>+'Expense Input'!M60</f>
        <v>0</v>
      </c>
      <c r="I266" s="1" t="str">
        <f>IF(SUM(H266)&gt;0.49,"*","")</f>
        <v/>
      </c>
      <c r="K266" s="8"/>
      <c r="M266" s="85">
        <f t="shared" si="53"/>
        <v>0</v>
      </c>
      <c r="N266" s="85">
        <f t="shared" si="53"/>
        <v>0</v>
      </c>
      <c r="O266" s="85">
        <f t="shared" si="53"/>
        <v>0</v>
      </c>
      <c r="P266" s="85">
        <f t="shared" si="53"/>
        <v>0</v>
      </c>
    </row>
    <row r="267" spans="1:16" hidden="1">
      <c r="A267" s="19"/>
      <c r="B267" s="25">
        <f>'Expense Input'!B61</f>
        <v>496</v>
      </c>
      <c r="C267" s="25">
        <f>'Expense Input'!C61</f>
        <v>4000</v>
      </c>
      <c r="D267" s="25">
        <f>'Expense Input'!D61</f>
        <v>8100</v>
      </c>
      <c r="E267" s="25">
        <f>'Expense Input'!E61</f>
        <v>350</v>
      </c>
      <c r="F267" s="25"/>
      <c r="G267" s="25" t="str">
        <f>'Expense Input'!F61</f>
        <v>Repairs and Maintenance</v>
      </c>
      <c r="H267" s="24">
        <f>+'Expense Input'!M61</f>
        <v>0</v>
      </c>
      <c r="I267" s="1" t="str">
        <f>IF(SUM(H267)&gt;0.49,"*","")</f>
        <v/>
      </c>
      <c r="K267" s="8"/>
      <c r="M267" s="85">
        <f t="shared" si="53"/>
        <v>0</v>
      </c>
      <c r="N267" s="85">
        <f t="shared" si="53"/>
        <v>0</v>
      </c>
      <c r="O267" s="85">
        <f t="shared" si="53"/>
        <v>0</v>
      </c>
      <c r="P267" s="85">
        <f t="shared" si="53"/>
        <v>0</v>
      </c>
    </row>
    <row r="268" spans="1:16">
      <c r="A268" s="19"/>
      <c r="B268" s="25"/>
      <c r="C268" s="25"/>
      <c r="D268" s="25"/>
      <c r="E268" s="25"/>
      <c r="F268" s="25"/>
      <c r="G268" s="25"/>
      <c r="I268" s="1" t="str">
        <f>IF(I269="*","*","")</f>
        <v>*</v>
      </c>
      <c r="M268" s="85">
        <f t="shared" si="53"/>
        <v>0</v>
      </c>
      <c r="N268" s="85">
        <f t="shared" si="53"/>
        <v>0</v>
      </c>
      <c r="O268" s="85">
        <f t="shared" si="53"/>
        <v>0</v>
      </c>
      <c r="P268" s="85">
        <f t="shared" si="53"/>
        <v>0</v>
      </c>
    </row>
    <row r="269" spans="1:16">
      <c r="A269" s="19"/>
      <c r="B269" s="25"/>
      <c r="C269" s="25"/>
      <c r="D269" s="25"/>
      <c r="E269" s="25"/>
      <c r="G269" s="16" t="s">
        <v>43</v>
      </c>
      <c r="H269" s="23">
        <f>SUM(H265:H268)</f>
        <v>8410.0766571428576</v>
      </c>
      <c r="I269" s="1" t="str">
        <f>IF(SUM(H269)&gt;0.49,"*","")</f>
        <v>*</v>
      </c>
      <c r="M269" s="85">
        <f t="shared" si="53"/>
        <v>0</v>
      </c>
      <c r="N269" s="85">
        <f t="shared" si="53"/>
        <v>0</v>
      </c>
      <c r="O269" s="85">
        <f t="shared" si="53"/>
        <v>0</v>
      </c>
      <c r="P269" s="85">
        <f t="shared" si="53"/>
        <v>0</v>
      </c>
    </row>
    <row r="270" spans="1:16">
      <c r="A270" s="19"/>
      <c r="B270" s="25"/>
      <c r="C270" s="25"/>
      <c r="D270" s="25"/>
      <c r="E270" s="25"/>
      <c r="F270" s="25"/>
      <c r="G270" s="25"/>
      <c r="H270" s="26"/>
      <c r="I270" s="1" t="str">
        <f>IF(I269="*","*","")</f>
        <v>*</v>
      </c>
      <c r="M270" s="85">
        <f t="shared" si="53"/>
        <v>0</v>
      </c>
      <c r="N270" s="85">
        <f t="shared" si="53"/>
        <v>0</v>
      </c>
      <c r="O270" s="85">
        <f t="shared" si="53"/>
        <v>0</v>
      </c>
      <c r="P270" s="85">
        <f t="shared" si="53"/>
        <v>0</v>
      </c>
    </row>
    <row r="271" spans="1:16" hidden="1">
      <c r="A271" s="19"/>
      <c r="B271" s="25">
        <v>891</v>
      </c>
      <c r="C271" s="25">
        <v>4000</v>
      </c>
      <c r="D271" s="25">
        <v>9100</v>
      </c>
      <c r="E271" s="25">
        <v>150</v>
      </c>
      <c r="F271" s="25"/>
      <c r="G271" s="25" t="s">
        <v>68</v>
      </c>
      <c r="H271" s="58">
        <f>+Payroll!F110</f>
        <v>0</v>
      </c>
      <c r="I271" s="1" t="str">
        <f t="shared" ref="I271:I280" si="57">IF(SUM(H271)&gt;0.49,"*","")</f>
        <v/>
      </c>
      <c r="M271" s="85">
        <f t="shared" si="53"/>
        <v>0</v>
      </c>
      <c r="N271" s="85">
        <f t="shared" si="53"/>
        <v>0</v>
      </c>
      <c r="O271" s="85">
        <f t="shared" si="53"/>
        <v>0</v>
      </c>
      <c r="P271" s="85">
        <f t="shared" si="53"/>
        <v>0</v>
      </c>
    </row>
    <row r="272" spans="1:16" hidden="1">
      <c r="A272" s="19"/>
      <c r="B272" s="25">
        <v>891</v>
      </c>
      <c r="C272" s="25">
        <v>4000</v>
      </c>
      <c r="D272" s="25">
        <v>9100</v>
      </c>
      <c r="E272" s="25">
        <v>210</v>
      </c>
      <c r="F272" s="25"/>
      <c r="G272" s="25" t="s">
        <v>48</v>
      </c>
      <c r="H272" s="58">
        <f>+Payroll!G110</f>
        <v>0</v>
      </c>
      <c r="I272" s="1" t="str">
        <f t="shared" si="57"/>
        <v/>
      </c>
      <c r="M272" s="85">
        <f t="shared" si="53"/>
        <v>0</v>
      </c>
      <c r="N272" s="85">
        <f t="shared" si="53"/>
        <v>0</v>
      </c>
      <c r="O272" s="85">
        <f t="shared" si="53"/>
        <v>0</v>
      </c>
      <c r="P272" s="85">
        <f t="shared" si="53"/>
        <v>0</v>
      </c>
    </row>
    <row r="273" spans="1:16" hidden="1">
      <c r="A273" s="19"/>
      <c r="B273" s="25">
        <v>891</v>
      </c>
      <c r="C273" s="25">
        <v>4000</v>
      </c>
      <c r="D273" s="25">
        <v>9100</v>
      </c>
      <c r="E273" s="25">
        <v>220</v>
      </c>
      <c r="F273" s="25"/>
      <c r="G273" s="25" t="s">
        <v>49</v>
      </c>
      <c r="H273" s="58">
        <f>+Payroll!I110</f>
        <v>0</v>
      </c>
      <c r="I273" s="1" t="str">
        <f t="shared" si="57"/>
        <v/>
      </c>
      <c r="M273" s="85">
        <f t="shared" si="53"/>
        <v>0</v>
      </c>
      <c r="N273" s="85">
        <f t="shared" si="53"/>
        <v>0</v>
      </c>
      <c r="O273" s="85">
        <f t="shared" si="53"/>
        <v>0</v>
      </c>
      <c r="P273" s="85">
        <f t="shared" si="53"/>
        <v>0</v>
      </c>
    </row>
    <row r="274" spans="1:16" hidden="1">
      <c r="A274" s="19"/>
      <c r="B274" s="25">
        <v>891</v>
      </c>
      <c r="C274" s="25">
        <v>4000</v>
      </c>
      <c r="D274" s="25">
        <v>9100</v>
      </c>
      <c r="E274" s="25">
        <v>230</v>
      </c>
      <c r="F274" s="25"/>
      <c r="G274" s="25" t="s">
        <v>50</v>
      </c>
      <c r="H274" s="58">
        <f>+Payroll!J110</f>
        <v>0</v>
      </c>
      <c r="I274" s="1" t="str">
        <f t="shared" si="57"/>
        <v/>
      </c>
      <c r="M274" s="85">
        <f t="shared" si="53"/>
        <v>0</v>
      </c>
      <c r="N274" s="85">
        <f t="shared" si="53"/>
        <v>0</v>
      </c>
      <c r="O274" s="85">
        <f t="shared" si="53"/>
        <v>0</v>
      </c>
      <c r="P274" s="85">
        <f t="shared" si="53"/>
        <v>0</v>
      </c>
    </row>
    <row r="275" spans="1:16" hidden="1">
      <c r="A275" s="19"/>
      <c r="B275" s="25">
        <v>891</v>
      </c>
      <c r="C275" s="25">
        <v>4000</v>
      </c>
      <c r="D275" s="25">
        <v>9100</v>
      </c>
      <c r="E275" s="25">
        <v>240</v>
      </c>
      <c r="F275" s="25"/>
      <c r="G275" s="25" t="s">
        <v>51</v>
      </c>
      <c r="H275" s="58">
        <f>+Payroll!L110</f>
        <v>0</v>
      </c>
      <c r="I275" s="1" t="str">
        <f t="shared" si="57"/>
        <v/>
      </c>
      <c r="M275" s="85">
        <f t="shared" si="53"/>
        <v>0</v>
      </c>
      <c r="N275" s="85">
        <f t="shared" si="53"/>
        <v>0</v>
      </c>
      <c r="O275" s="85">
        <f t="shared" si="53"/>
        <v>0</v>
      </c>
      <c r="P275" s="85">
        <f t="shared" si="53"/>
        <v>0</v>
      </c>
    </row>
    <row r="276" spans="1:16" ht="12" hidden="1" customHeight="1">
      <c r="A276" s="19"/>
      <c r="B276" s="25">
        <v>891</v>
      </c>
      <c r="C276" s="25">
        <v>4000</v>
      </c>
      <c r="D276" s="25">
        <v>9100</v>
      </c>
      <c r="E276" s="25">
        <v>250</v>
      </c>
      <c r="F276" s="25"/>
      <c r="G276" s="25" t="s">
        <v>52</v>
      </c>
      <c r="H276" s="58">
        <f>+Payroll!M110</f>
        <v>0</v>
      </c>
      <c r="I276" s="1" t="str">
        <f t="shared" si="57"/>
        <v/>
      </c>
      <c r="M276" s="85">
        <f t="shared" si="53"/>
        <v>0</v>
      </c>
      <c r="N276" s="85">
        <f t="shared" si="53"/>
        <v>0</v>
      </c>
      <c r="O276" s="85">
        <f t="shared" si="53"/>
        <v>0</v>
      </c>
      <c r="P276" s="85">
        <f t="shared" si="53"/>
        <v>0</v>
      </c>
    </row>
    <row r="277" spans="1:16" hidden="1">
      <c r="A277" s="19"/>
      <c r="B277" s="25"/>
      <c r="C277" s="25"/>
      <c r="D277" s="25"/>
      <c r="E277" s="25"/>
      <c r="F277" s="25"/>
      <c r="G277" s="25"/>
      <c r="H277" s="24"/>
      <c r="I277" s="1" t="str">
        <f t="shared" si="57"/>
        <v/>
      </c>
      <c r="M277" s="85">
        <f t="shared" si="53"/>
        <v>0</v>
      </c>
      <c r="N277" s="85">
        <f t="shared" si="53"/>
        <v>0</v>
      </c>
      <c r="O277" s="85">
        <f t="shared" si="53"/>
        <v>0</v>
      </c>
      <c r="P277" s="85">
        <f t="shared" si="53"/>
        <v>0</v>
      </c>
    </row>
    <row r="278" spans="1:16">
      <c r="A278" s="19"/>
      <c r="B278" s="25">
        <f>'Expense Input'!B62</f>
        <v>100</v>
      </c>
      <c r="C278" s="25">
        <f>'Expense Input'!C62</f>
        <v>4000</v>
      </c>
      <c r="D278" s="25">
        <f>'Expense Input'!D62</f>
        <v>9100</v>
      </c>
      <c r="E278" s="25">
        <f>'Expense Input'!E62</f>
        <v>705</v>
      </c>
      <c r="F278" s="31"/>
      <c r="G278" s="31" t="str">
        <f>'Expense Input'!F62</f>
        <v>Donations</v>
      </c>
      <c r="H278" s="58">
        <f>+'Expense Input'!M62</f>
        <v>444.4</v>
      </c>
      <c r="I278" s="1" t="str">
        <f t="shared" ref="I278" si="58">IF(SUM(H278)&gt;0.49,"*","")</f>
        <v>*</v>
      </c>
      <c r="K278" s="8"/>
      <c r="M278" s="85">
        <f t="shared" ref="M278:P294" si="59">IF($B278=M$14,$H278,0)</f>
        <v>444.4</v>
      </c>
      <c r="N278" s="85">
        <f t="shared" si="59"/>
        <v>0</v>
      </c>
      <c r="O278" s="85">
        <f t="shared" si="59"/>
        <v>0</v>
      </c>
      <c r="P278" s="85">
        <f t="shared" si="59"/>
        <v>0</v>
      </c>
    </row>
    <row r="279" spans="1:16">
      <c r="A279" s="19"/>
      <c r="B279" s="25">
        <f>'Expense Input'!B63</f>
        <v>100</v>
      </c>
      <c r="C279" s="25">
        <f>'Expense Input'!C63</f>
        <v>4000</v>
      </c>
      <c r="D279" s="25">
        <f>'Expense Input'!D63</f>
        <v>9100</v>
      </c>
      <c r="E279" s="25">
        <f>'Expense Input'!E63</f>
        <v>710</v>
      </c>
      <c r="F279" s="31"/>
      <c r="G279" s="31" t="str">
        <f>'Expense Input'!F63</f>
        <v>Fundraiser Expense</v>
      </c>
      <c r="H279" s="58">
        <f>+'Expense Input'!M63</f>
        <v>1040.3</v>
      </c>
      <c r="I279" s="1" t="str">
        <f t="shared" ref="I279" si="60">IF(SUM(H279)&gt;0.49,"*","")</f>
        <v>*</v>
      </c>
      <c r="K279" s="8"/>
      <c r="M279" s="85">
        <f t="shared" si="59"/>
        <v>1040.3</v>
      </c>
      <c r="N279" s="85">
        <f t="shared" si="59"/>
        <v>0</v>
      </c>
      <c r="O279" s="85">
        <f t="shared" si="59"/>
        <v>0</v>
      </c>
      <c r="P279" s="85">
        <f t="shared" si="59"/>
        <v>0</v>
      </c>
    </row>
    <row r="280" spans="1:16" hidden="1">
      <c r="A280" s="19"/>
      <c r="B280" s="25"/>
      <c r="C280" s="25"/>
      <c r="D280" s="25"/>
      <c r="E280" s="25"/>
      <c r="F280" s="31"/>
      <c r="G280" s="31"/>
      <c r="H280" s="58"/>
      <c r="I280" s="1" t="str">
        <f t="shared" si="57"/>
        <v/>
      </c>
      <c r="K280" s="8"/>
      <c r="M280" s="85">
        <f t="shared" si="59"/>
        <v>0</v>
      </c>
      <c r="N280" s="85">
        <f t="shared" si="59"/>
        <v>0</v>
      </c>
      <c r="O280" s="85">
        <f t="shared" si="59"/>
        <v>0</v>
      </c>
      <c r="P280" s="85">
        <f t="shared" si="59"/>
        <v>0</v>
      </c>
    </row>
    <row r="281" spans="1:16">
      <c r="A281" s="19"/>
      <c r="B281" s="25"/>
      <c r="C281" s="25"/>
      <c r="D281" s="25"/>
      <c r="E281" s="25"/>
      <c r="F281" s="25"/>
      <c r="G281" s="25"/>
      <c r="H281" s="26"/>
      <c r="I281" s="1" t="str">
        <f>IF(I282="*","*","")</f>
        <v>*</v>
      </c>
      <c r="M281" s="85">
        <f t="shared" si="59"/>
        <v>0</v>
      </c>
      <c r="N281" s="85">
        <f t="shared" si="59"/>
        <v>0</v>
      </c>
      <c r="O281" s="85">
        <f t="shared" si="59"/>
        <v>0</v>
      </c>
      <c r="P281" s="85">
        <f t="shared" si="59"/>
        <v>0</v>
      </c>
    </row>
    <row r="282" spans="1:16">
      <c r="A282" s="19"/>
      <c r="B282" s="25"/>
      <c r="C282" s="25"/>
      <c r="D282" s="25"/>
      <c r="E282" s="25"/>
      <c r="F282" s="25"/>
      <c r="G282" s="16" t="s">
        <v>67</v>
      </c>
      <c r="H282" s="23">
        <f>SUM(H271:H281)</f>
        <v>1484.6999999999998</v>
      </c>
      <c r="I282" s="1" t="str">
        <f>IF(SUM(H282)&gt;0.49,"*","")</f>
        <v>*</v>
      </c>
      <c r="M282" s="85">
        <f t="shared" si="59"/>
        <v>0</v>
      </c>
      <c r="N282" s="85">
        <f t="shared" si="59"/>
        <v>0</v>
      </c>
      <c r="O282" s="85">
        <f t="shared" si="59"/>
        <v>0</v>
      </c>
      <c r="P282" s="85">
        <f t="shared" si="59"/>
        <v>0</v>
      </c>
    </row>
    <row r="283" spans="1:16">
      <c r="A283" s="19"/>
      <c r="B283" s="25"/>
      <c r="C283" s="25"/>
      <c r="D283" s="25"/>
      <c r="E283" s="25"/>
      <c r="F283" s="25"/>
      <c r="G283" s="25"/>
      <c r="H283" s="26"/>
      <c r="I283" s="1" t="str">
        <f>IF(I282="*","*","")</f>
        <v>*</v>
      </c>
      <c r="M283" s="85">
        <f t="shared" si="59"/>
        <v>0</v>
      </c>
      <c r="N283" s="85">
        <f t="shared" si="59"/>
        <v>0</v>
      </c>
      <c r="O283" s="85">
        <f t="shared" si="59"/>
        <v>0</v>
      </c>
      <c r="P283" s="85">
        <f t="shared" si="59"/>
        <v>0</v>
      </c>
    </row>
    <row r="284" spans="1:16">
      <c r="A284" s="19"/>
      <c r="B284" s="112">
        <f>'Expense Input'!B65</f>
        <v>360</v>
      </c>
      <c r="C284" s="112">
        <f>'Expense Input'!C65</f>
        <v>4000</v>
      </c>
      <c r="D284" s="112">
        <f>'Expense Input'!D65</f>
        <v>9200</v>
      </c>
      <c r="E284" s="112">
        <f>'Expense Input'!E65</f>
        <v>710</v>
      </c>
      <c r="F284" s="31"/>
      <c r="G284" s="31" t="str">
        <f>'Expense Input'!F65</f>
        <v>Debt Service - Principal</v>
      </c>
      <c r="H284" s="58">
        <f>+'Expense Input'!M65</f>
        <v>7999.62</v>
      </c>
      <c r="I284" s="1" t="str">
        <f t="shared" ref="I284:I285" si="61">IF(SUM(H284)&gt;0.49,"*","")</f>
        <v>*</v>
      </c>
      <c r="M284" s="85">
        <f t="shared" si="59"/>
        <v>0</v>
      </c>
      <c r="N284" s="85">
        <f t="shared" si="59"/>
        <v>7999.62</v>
      </c>
      <c r="O284" s="85">
        <f t="shared" si="59"/>
        <v>0</v>
      </c>
      <c r="P284" s="85">
        <f t="shared" si="59"/>
        <v>0</v>
      </c>
    </row>
    <row r="285" spans="1:16">
      <c r="A285" s="19"/>
      <c r="B285" s="112">
        <f>'Expense Input'!B67</f>
        <v>360</v>
      </c>
      <c r="C285" s="112">
        <f>'Expense Input'!C67</f>
        <v>4000</v>
      </c>
      <c r="D285" s="112">
        <f>'Expense Input'!D67</f>
        <v>9200</v>
      </c>
      <c r="E285" s="112">
        <f>'Expense Input'!E67</f>
        <v>720</v>
      </c>
      <c r="F285" s="31"/>
      <c r="G285" s="31" t="str">
        <f>'Expense Input'!F67</f>
        <v>Debt Service - Interest</v>
      </c>
      <c r="H285" s="58">
        <f>+'Expense Input'!M67</f>
        <v>3618.0000000000005</v>
      </c>
      <c r="I285" s="1" t="str">
        <f t="shared" si="61"/>
        <v>*</v>
      </c>
      <c r="M285" s="85">
        <f t="shared" si="59"/>
        <v>0</v>
      </c>
      <c r="N285" s="85">
        <f t="shared" si="59"/>
        <v>3618.0000000000005</v>
      </c>
      <c r="O285" s="85">
        <f t="shared" si="59"/>
        <v>0</v>
      </c>
      <c r="P285" s="85">
        <f t="shared" si="59"/>
        <v>0</v>
      </c>
    </row>
    <row r="286" spans="1:16">
      <c r="A286" s="19"/>
      <c r="B286" s="25"/>
      <c r="C286" s="25"/>
      <c r="D286" s="25"/>
      <c r="E286" s="25"/>
      <c r="F286" s="25"/>
      <c r="G286" s="25"/>
      <c r="H286" s="26"/>
      <c r="I286" s="1" t="str">
        <f>IF(I287="*","*","")</f>
        <v>*</v>
      </c>
      <c r="M286" s="85">
        <f t="shared" si="59"/>
        <v>0</v>
      </c>
      <c r="N286" s="85">
        <f t="shared" si="59"/>
        <v>0</v>
      </c>
      <c r="O286" s="85">
        <f t="shared" si="59"/>
        <v>0</v>
      </c>
      <c r="P286" s="85">
        <f t="shared" si="59"/>
        <v>0</v>
      </c>
    </row>
    <row r="287" spans="1:16">
      <c r="A287" s="19"/>
      <c r="B287" s="25"/>
      <c r="C287" s="25"/>
      <c r="D287" s="25"/>
      <c r="E287" s="25"/>
      <c r="F287" s="25"/>
      <c r="G287" s="16" t="s">
        <v>69</v>
      </c>
      <c r="H287" s="23">
        <f>SUM(H284:H286)</f>
        <v>11617.62</v>
      </c>
      <c r="I287" s="1" t="str">
        <f>IF(SUM(H287)&gt;0.49,"*","")</f>
        <v>*</v>
      </c>
      <c r="M287" s="85">
        <f t="shared" si="59"/>
        <v>0</v>
      </c>
      <c r="N287" s="85">
        <f t="shared" si="59"/>
        <v>0</v>
      </c>
      <c r="O287" s="85">
        <f t="shared" si="59"/>
        <v>0</v>
      </c>
      <c r="P287" s="85">
        <f t="shared" si="59"/>
        <v>0</v>
      </c>
    </row>
    <row r="288" spans="1:16">
      <c r="A288" s="19"/>
      <c r="B288" s="25"/>
      <c r="C288" s="25"/>
      <c r="D288" s="25"/>
      <c r="E288" s="25"/>
      <c r="F288" s="25"/>
      <c r="G288" s="25"/>
      <c r="H288" s="26"/>
      <c r="I288" s="1" t="str">
        <f>IF(I287="*","*","")</f>
        <v>*</v>
      </c>
      <c r="M288" s="85">
        <f t="shared" si="59"/>
        <v>0</v>
      </c>
      <c r="N288" s="85">
        <f t="shared" si="59"/>
        <v>0</v>
      </c>
      <c r="O288" s="85">
        <f t="shared" si="59"/>
        <v>0</v>
      </c>
      <c r="P288" s="85">
        <f t="shared" si="59"/>
        <v>0</v>
      </c>
    </row>
    <row r="289" spans="1:17" hidden="1">
      <c r="A289" s="19"/>
      <c r="B289" s="82"/>
      <c r="C289" s="82"/>
      <c r="D289" s="82"/>
      <c r="E289" s="82"/>
      <c r="F289" s="31"/>
      <c r="G289" s="31"/>
      <c r="H289" s="58"/>
      <c r="I289" s="1" t="str">
        <f>IF(SUM(H289)&gt;0.49,"*","")</f>
        <v/>
      </c>
      <c r="M289" s="85">
        <f t="shared" si="59"/>
        <v>0</v>
      </c>
      <c r="N289" s="85">
        <f t="shared" si="59"/>
        <v>0</v>
      </c>
      <c r="O289" s="85">
        <f t="shared" si="59"/>
        <v>0</v>
      </c>
      <c r="P289" s="85">
        <f t="shared" si="59"/>
        <v>0</v>
      </c>
    </row>
    <row r="290" spans="1:17" hidden="1">
      <c r="A290" s="19"/>
      <c r="B290" s="25"/>
      <c r="C290" s="25"/>
      <c r="D290" s="25"/>
      <c r="E290" s="25"/>
      <c r="F290" s="25"/>
      <c r="G290" s="25"/>
      <c r="H290" s="24"/>
      <c r="I290" s="1" t="str">
        <f>IF(SUM(H290)&gt;0.49,"*","")</f>
        <v/>
      </c>
      <c r="M290" s="85">
        <f t="shared" si="59"/>
        <v>0</v>
      </c>
      <c r="N290" s="85">
        <f t="shared" si="59"/>
        <v>0</v>
      </c>
      <c r="O290" s="85">
        <f t="shared" si="59"/>
        <v>0</v>
      </c>
      <c r="P290" s="85">
        <f t="shared" si="59"/>
        <v>0</v>
      </c>
    </row>
    <row r="291" spans="1:17" hidden="1">
      <c r="A291" s="19"/>
      <c r="B291" s="25"/>
      <c r="C291" s="25"/>
      <c r="D291" s="25"/>
      <c r="E291" s="25"/>
      <c r="F291" s="25"/>
      <c r="G291" s="25"/>
      <c r="H291" s="26"/>
      <c r="I291" s="1" t="str">
        <f>IF(I292="*","*","")</f>
        <v/>
      </c>
      <c r="M291" s="85">
        <f t="shared" si="59"/>
        <v>0</v>
      </c>
      <c r="N291" s="85">
        <f t="shared" si="59"/>
        <v>0</v>
      </c>
      <c r="O291" s="85">
        <f t="shared" si="59"/>
        <v>0</v>
      </c>
      <c r="P291" s="85">
        <f t="shared" si="59"/>
        <v>0</v>
      </c>
    </row>
    <row r="292" spans="1:17" hidden="1">
      <c r="A292" s="19"/>
      <c r="B292" s="25"/>
      <c r="C292" s="25"/>
      <c r="D292" s="25"/>
      <c r="E292" s="25"/>
      <c r="F292" s="25"/>
      <c r="G292" s="16" t="s">
        <v>137</v>
      </c>
      <c r="H292" s="23">
        <f t="shared" ref="H292" si="62">SUM(H289:H291)</f>
        <v>0</v>
      </c>
      <c r="I292" s="1" t="str">
        <f>IF(SUM(H292)&gt;0.49,"*","")</f>
        <v/>
      </c>
      <c r="M292" s="85">
        <f t="shared" si="59"/>
        <v>0</v>
      </c>
      <c r="N292" s="85">
        <f t="shared" si="59"/>
        <v>0</v>
      </c>
      <c r="O292" s="85">
        <f t="shared" si="59"/>
        <v>0</v>
      </c>
      <c r="P292" s="85">
        <f t="shared" si="59"/>
        <v>0</v>
      </c>
    </row>
    <row r="293" spans="1:17" hidden="1">
      <c r="A293" s="19"/>
      <c r="B293" s="25"/>
      <c r="C293" s="25"/>
      <c r="D293" s="25"/>
      <c r="E293" s="25"/>
      <c r="F293" s="25"/>
      <c r="G293" s="25"/>
      <c r="H293" s="26"/>
      <c r="I293" s="1" t="str">
        <f>IF(I292="*","*","")</f>
        <v/>
      </c>
      <c r="M293" s="85">
        <f t="shared" si="59"/>
        <v>0</v>
      </c>
      <c r="N293" s="85">
        <f t="shared" si="59"/>
        <v>0</v>
      </c>
      <c r="O293" s="85">
        <f t="shared" si="59"/>
        <v>0</v>
      </c>
      <c r="P293" s="85">
        <f t="shared" si="59"/>
        <v>0</v>
      </c>
    </row>
    <row r="294" spans="1:17">
      <c r="A294" s="19"/>
      <c r="I294" s="1" t="s">
        <v>64</v>
      </c>
      <c r="M294" s="85">
        <f t="shared" si="59"/>
        <v>0</v>
      </c>
      <c r="N294" s="85">
        <f t="shared" si="59"/>
        <v>0</v>
      </c>
      <c r="O294" s="85">
        <f t="shared" si="59"/>
        <v>0</v>
      </c>
      <c r="P294" s="85">
        <f t="shared" si="59"/>
        <v>0</v>
      </c>
    </row>
    <row r="295" spans="1:17">
      <c r="A295" s="19"/>
      <c r="G295" s="10" t="s">
        <v>44</v>
      </c>
      <c r="H295" s="52">
        <f>SUM(H287,H282,H269,H263,H243,H220,H205,H191,H196,H160,H170,H149,H136,H131,H127,H118,H106,H71+H292)</f>
        <v>1199951.6472084285</v>
      </c>
      <c r="I295" s="1" t="s">
        <v>64</v>
      </c>
      <c r="K295" s="8">
        <f>-H295+'Expense Input'!M69+Payroll!N111+H79</f>
        <v>2.3283064365386963E-10</v>
      </c>
      <c r="M295" s="86">
        <f>SUM(M46:M294)</f>
        <v>955955.32760842831</v>
      </c>
      <c r="N295" s="86">
        <f>SUM(N46:N294)</f>
        <v>31707</v>
      </c>
      <c r="O295" s="86">
        <f>SUM(O46:O294)</f>
        <v>212289.31959999999</v>
      </c>
      <c r="P295" s="86">
        <f>SUM(P46:P294)</f>
        <v>0</v>
      </c>
    </row>
    <row r="296" spans="1:17">
      <c r="A296" s="19"/>
      <c r="B296" s="10"/>
      <c r="C296" s="10"/>
      <c r="D296" s="10"/>
      <c r="E296" s="10"/>
      <c r="F296" s="10"/>
      <c r="I296" s="1" t="s">
        <v>64</v>
      </c>
    </row>
    <row r="297" spans="1:17" ht="13.8" thickBot="1">
      <c r="A297" s="19"/>
      <c r="B297" s="10"/>
      <c r="C297" s="10"/>
      <c r="D297" s="217" t="str">
        <f>IF(H297&lt;0,"Excess (Deficit) of Revenues Over Expenditures", "Excess of Revenues Over Expenditures")</f>
        <v>Excess of Revenues Over Expenditures</v>
      </c>
      <c r="E297" s="217"/>
      <c r="F297" s="217"/>
      <c r="G297" s="217"/>
      <c r="H297" s="216">
        <f>+H42-H295</f>
        <v>88719.38779157144</v>
      </c>
      <c r="I297" s="1" t="s">
        <v>64</v>
      </c>
      <c r="M297" s="50">
        <f>+M42-M295</f>
        <v>-40872.512608428369</v>
      </c>
      <c r="N297" s="50">
        <f>+N42-N295</f>
        <v>0</v>
      </c>
      <c r="O297" s="50">
        <f>+O42-O295</f>
        <v>4.0000001899898052E-4</v>
      </c>
      <c r="P297" s="50">
        <f>+P42-P295</f>
        <v>129591.9</v>
      </c>
    </row>
    <row r="298" spans="1:17" ht="13.8" thickTop="1">
      <c r="I298" s="1" t="s">
        <v>64</v>
      </c>
    </row>
    <row r="299" spans="1:17" hidden="1">
      <c r="A299" s="19"/>
      <c r="B299" s="1"/>
      <c r="C299" s="1"/>
      <c r="D299" s="218" t="s">
        <v>84</v>
      </c>
      <c r="E299" s="218"/>
      <c r="F299" s="218"/>
      <c r="G299" s="218"/>
      <c r="H299" s="137">
        <v>0</v>
      </c>
    </row>
    <row r="300" spans="1:17" hidden="1">
      <c r="H300" s="21"/>
    </row>
    <row r="301" spans="1:17" ht="13.8" hidden="1" thickBot="1">
      <c r="A301" s="19"/>
      <c r="B301" s="10"/>
      <c r="C301" s="10"/>
      <c r="D301" s="10" t="s">
        <v>85</v>
      </c>
      <c r="E301" s="10"/>
      <c r="F301" s="10"/>
      <c r="G301" s="10"/>
      <c r="H301" s="84">
        <f>+H297+H299</f>
        <v>88719.38779157144</v>
      </c>
    </row>
    <row r="302" spans="1:17" hidden="1">
      <c r="Q302" s="8"/>
    </row>
    <row r="303" spans="1:17" hidden="1"/>
    <row r="304" spans="1:17" hidden="1"/>
    <row r="305" spans="4:18" hidden="1">
      <c r="D305"/>
      <c r="E305"/>
      <c r="F305"/>
      <c r="G305"/>
      <c r="H305"/>
      <c r="I305"/>
      <c r="J305"/>
      <c r="K305"/>
      <c r="L305"/>
      <c r="M305"/>
      <c r="N305"/>
      <c r="O305"/>
      <c r="P305"/>
    </row>
    <row r="306" spans="4:18" hidden="1">
      <c r="D306"/>
      <c r="E306"/>
      <c r="F306"/>
      <c r="G306"/>
      <c r="H306"/>
      <c r="I306"/>
      <c r="J306"/>
      <c r="K306"/>
      <c r="L306"/>
      <c r="M306"/>
      <c r="N306"/>
      <c r="O306"/>
      <c r="P306"/>
    </row>
    <row r="307" spans="4:18" hidden="1">
      <c r="D307"/>
      <c r="E307"/>
      <c r="F307"/>
      <c r="G307"/>
      <c r="H307"/>
      <c r="I307"/>
      <c r="J307"/>
      <c r="K307"/>
      <c r="L307"/>
      <c r="M307"/>
      <c r="N307"/>
      <c r="O307"/>
      <c r="P307"/>
    </row>
    <row r="308" spans="4:18" hidden="1">
      <c r="D308"/>
      <c r="E308"/>
      <c r="F308"/>
      <c r="G308"/>
      <c r="H308"/>
      <c r="I308"/>
      <c r="J308"/>
      <c r="K308"/>
      <c r="L308"/>
      <c r="M308"/>
      <c r="N308"/>
      <c r="O308"/>
      <c r="P308"/>
    </row>
    <row r="309" spans="4:18" hidden="1">
      <c r="D309"/>
      <c r="E309"/>
      <c r="F309"/>
      <c r="G309"/>
      <c r="H309"/>
      <c r="I309"/>
      <c r="J309"/>
      <c r="K309"/>
      <c r="L309"/>
      <c r="M309"/>
      <c r="N309"/>
      <c r="O309"/>
      <c r="P309"/>
    </row>
    <row r="310" spans="4:18" hidden="1">
      <c r="D310"/>
      <c r="E310"/>
      <c r="F310"/>
      <c r="G310"/>
      <c r="H310"/>
      <c r="I310"/>
      <c r="J310"/>
      <c r="K310"/>
      <c r="L310"/>
      <c r="M310"/>
      <c r="N310"/>
      <c r="O310"/>
      <c r="P310"/>
    </row>
    <row r="311" spans="4:18" hidden="1">
      <c r="D311"/>
      <c r="E311"/>
      <c r="F311"/>
      <c r="G311"/>
      <c r="H311"/>
      <c r="I311"/>
      <c r="J311"/>
      <c r="K311"/>
      <c r="L311"/>
      <c r="M311"/>
      <c r="N311"/>
      <c r="O311"/>
      <c r="P311"/>
    </row>
    <row r="312" spans="4:18">
      <c r="D312"/>
      <c r="E312"/>
      <c r="F312"/>
      <c r="G312"/>
      <c r="H312"/>
      <c r="I312"/>
      <c r="J312"/>
      <c r="K312"/>
      <c r="L312"/>
      <c r="M312"/>
      <c r="N312"/>
      <c r="O312"/>
      <c r="P312"/>
    </row>
    <row r="313" spans="4:18" hidden="1">
      <c r="H313"/>
      <c r="I313" s="22" t="e">
        <f t="shared" ref="I313:R313" si="63">I297-I311</f>
        <v>#VALUE!</v>
      </c>
      <c r="J313" s="22"/>
      <c r="K313" s="22"/>
      <c r="L313" s="22"/>
      <c r="M313" s="22"/>
      <c r="N313" s="22"/>
      <c r="O313" s="22"/>
      <c r="P313" s="22"/>
      <c r="Q313" s="22"/>
      <c r="R313" s="22">
        <f t="shared" si="63"/>
        <v>0</v>
      </c>
    </row>
    <row r="314" spans="4:18">
      <c r="H314"/>
    </row>
    <row r="315" spans="4:18">
      <c r="H315"/>
    </row>
    <row r="316" spans="4:18" hidden="1">
      <c r="D316" s="3" t="s">
        <v>227</v>
      </c>
      <c r="H316" s="58">
        <f>+H42</f>
        <v>1288671.0349999999</v>
      </c>
    </row>
    <row r="317" spans="4:18" hidden="1">
      <c r="H317"/>
    </row>
    <row r="318" spans="4:18" hidden="1">
      <c r="D318" s="3" t="s">
        <v>228</v>
      </c>
      <c r="H318" s="22">
        <f>+SUM(H73:H81,H108:H113,H173:H178,)</f>
        <v>635927.33800653694</v>
      </c>
    </row>
    <row r="319" spans="4:18" hidden="1">
      <c r="D319" s="3" t="s">
        <v>229</v>
      </c>
      <c r="H319" s="22">
        <f>+SUM(H251:H260,H284:H285,H266)</f>
        <v>179880.54161285714</v>
      </c>
    </row>
    <row r="320" spans="4:18" hidden="1">
      <c r="D320" s="3" t="s">
        <v>230</v>
      </c>
      <c r="H320" s="22">
        <f>+SUM(H83:H90,H115:H116,H129,H133,H138,H154:H159,H181:H187,H199:H200,H229,H279)</f>
        <v>316808.47986071423</v>
      </c>
    </row>
    <row r="321" spans="8:8" hidden="1">
      <c r="H321" s="22">
        <f>SUBTOTAL(9,H318:H320)</f>
        <v>0</v>
      </c>
    </row>
  </sheetData>
  <sheetProtection algorithmName="SHA-512" hashValue="9S1MumZLCEGNWkimddxNusZ3Kcz81Z4mFEmy1hGls5eiUagv52TUeuplo6kGPzfFGWpJ7PzgUI1ECDxlluAJCA==" saltValue="Devm7762caHt3JxRADOI0w==" spinCount="100000" sheet="1" objects="1" scenarios="1"/>
  <autoFilter ref="I1:I311" xr:uid="{00000000-0009-0000-0000-000000000000}">
    <filterColumn colId="0">
      <customFilters>
        <customFilter operator="notEqual" val=" "/>
      </customFilters>
    </filterColumn>
  </autoFilter>
  <mergeCells count="2">
    <mergeCell ref="D297:G297"/>
    <mergeCell ref="D299:G299"/>
  </mergeCells>
  <phoneticPr fontId="17" type="noConversion"/>
  <printOptions horizontalCentered="1"/>
  <pageMargins left="0" right="0" top="0.5" bottom="0.5" header="0" footer="0"/>
  <pageSetup fitToHeight="5" orientation="portrait" r:id="rId1"/>
  <headerFooter alignWithMargins="0"/>
  <rowBreaks count="2" manualBreakCount="2">
    <brk id="136" max="16383" man="1"/>
    <brk id="26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V206"/>
  <sheetViews>
    <sheetView showOutlineSymbols="0" topLeftCell="B1" zoomScaleNormal="100" workbookViewId="0">
      <selection activeCell="B1" sqref="B1"/>
    </sheetView>
  </sheetViews>
  <sheetFormatPr defaultColWidth="9.109375" defaultRowHeight="12.75" customHeight="1"/>
  <cols>
    <col min="1" max="1" width="6.6640625" style="1" hidden="1" customWidth="1"/>
    <col min="2" max="2" width="4" style="1" customWidth="1"/>
    <col min="3" max="3" width="5" style="1" customWidth="1"/>
    <col min="4" max="4" width="3.88671875" style="1" bestFit="1" customWidth="1"/>
    <col min="5" max="5" width="1.88671875" style="1" customWidth="1"/>
    <col min="6" max="6" width="35.109375" style="1" customWidth="1"/>
    <col min="7" max="7" width="0.88671875" style="1" customWidth="1"/>
    <col min="8" max="8" width="11" style="1" customWidth="1"/>
    <col min="9" max="9" width="0.88671875" style="1" customWidth="1"/>
    <col min="10" max="10" width="11" style="1" bestFit="1" customWidth="1"/>
    <col min="11" max="11" width="0.88671875" style="1" customWidth="1"/>
    <col min="12" max="12" width="24.6640625" style="1" customWidth="1"/>
    <col min="13" max="14" width="9.109375" style="25" hidden="1" customWidth="1"/>
    <col min="15" max="15" width="4" style="25" hidden="1" customWidth="1"/>
    <col min="16" max="16" width="5" style="25" hidden="1" customWidth="1"/>
    <col min="17" max="18" width="2" style="25" hidden="1" customWidth="1"/>
    <col min="19" max="19" width="28.88671875" style="25" hidden="1" customWidth="1"/>
    <col min="20" max="21" width="9.109375" style="25" hidden="1" customWidth="1"/>
    <col min="22" max="16384" width="9.109375" style="25"/>
  </cols>
  <sheetData>
    <row r="1" spans="1:22" s="1" customFormat="1" ht="13.2">
      <c r="B1" s="215" t="str">
        <f>Budget!B1</f>
        <v>CHAUTAUQUA LEARN &amp; SERVE CHARTER SCHOOL</v>
      </c>
      <c r="C1" s="215"/>
      <c r="D1" s="215"/>
      <c r="E1" s="215"/>
      <c r="F1" s="215"/>
      <c r="M1" s="1" t="s">
        <v>64</v>
      </c>
    </row>
    <row r="2" spans="1:22" s="1" customFormat="1" ht="13.2">
      <c r="B2" s="215" t="s">
        <v>81</v>
      </c>
      <c r="C2" s="215"/>
      <c r="D2" s="215"/>
      <c r="E2" s="215"/>
      <c r="F2" s="215"/>
      <c r="M2" s="1" t="s">
        <v>64</v>
      </c>
    </row>
    <row r="3" spans="1:22" s="1" customFormat="1" ht="17.25" customHeight="1">
      <c r="M3" s="1" t="s">
        <v>64</v>
      </c>
    </row>
    <row r="4" spans="1:22" s="1" customFormat="1" ht="17.25" customHeight="1">
      <c r="B4" s="10"/>
      <c r="C4" s="10"/>
      <c r="D4" s="10"/>
      <c r="E4" s="10"/>
      <c r="F4" s="10"/>
      <c r="M4" s="1" t="s">
        <v>64</v>
      </c>
    </row>
    <row r="5" spans="1:22" s="1" customFormat="1" ht="13.2">
      <c r="M5" s="1" t="s">
        <v>64</v>
      </c>
    </row>
    <row r="6" spans="1:22" s="1" customFormat="1" ht="13.2">
      <c r="J6" s="14"/>
      <c r="M6" s="1" t="s">
        <v>64</v>
      </c>
    </row>
    <row r="7" spans="1:22" s="1" customFormat="1" ht="13.2">
      <c r="H7" s="56" t="s">
        <v>73</v>
      </c>
      <c r="J7" s="54" t="s">
        <v>77</v>
      </c>
      <c r="M7" s="1" t="s">
        <v>64</v>
      </c>
    </row>
    <row r="8" spans="1:22" s="4" customFormat="1" ht="12.75" customHeight="1">
      <c r="H8" s="15" t="s">
        <v>188</v>
      </c>
      <c r="J8" s="15" t="s">
        <v>341</v>
      </c>
      <c r="L8" s="15" t="s">
        <v>47</v>
      </c>
      <c r="M8" s="1" t="s">
        <v>64</v>
      </c>
      <c r="N8" s="214"/>
      <c r="O8" s="213"/>
      <c r="P8" s="213"/>
      <c r="Q8" s="213"/>
      <c r="R8" s="213"/>
      <c r="S8" s="213"/>
      <c r="T8" s="213"/>
      <c r="U8" s="213"/>
      <c r="V8" s="214"/>
    </row>
    <row r="9" spans="1:22" ht="12.75" customHeight="1">
      <c r="A9" s="25"/>
      <c r="B9" s="29"/>
      <c r="C9" s="29"/>
      <c r="D9" s="29"/>
      <c r="E9" s="29"/>
      <c r="F9" s="25"/>
      <c r="L9" s="17"/>
      <c r="M9" s="1" t="s">
        <v>64</v>
      </c>
    </row>
    <row r="10" spans="1:22" ht="12.75" customHeight="1">
      <c r="A10" s="31"/>
      <c r="B10" s="113">
        <v>100</v>
      </c>
      <c r="C10" s="113">
        <v>3300</v>
      </c>
      <c r="D10" s="113">
        <v>0</v>
      </c>
      <c r="E10" s="113">
        <v>0</v>
      </c>
      <c r="F10" s="113" t="s">
        <v>153</v>
      </c>
      <c r="G10" s="64"/>
      <c r="H10" s="38">
        <v>730692</v>
      </c>
      <c r="I10" s="64"/>
      <c r="J10" s="81">
        <f>+J55</f>
        <v>730692</v>
      </c>
      <c r="K10" s="64"/>
      <c r="L10" s="62" t="s">
        <v>342</v>
      </c>
      <c r="M10" s="25" t="str">
        <f>IF((J10+H10)&gt;0.49,"*","")</f>
        <v>*</v>
      </c>
      <c r="O10" s="144">
        <v>100</v>
      </c>
      <c r="P10" s="144">
        <v>3300</v>
      </c>
      <c r="Q10" s="144">
        <v>0</v>
      </c>
      <c r="R10" s="144">
        <v>0</v>
      </c>
      <c r="S10" s="138" t="s">
        <v>153</v>
      </c>
      <c r="T10" s="138" t="s">
        <v>130</v>
      </c>
      <c r="U10" s="145">
        <v>730692</v>
      </c>
    </row>
    <row r="11" spans="1:22" ht="12.75" customHeight="1">
      <c r="A11" s="31"/>
      <c r="B11" s="113">
        <v>435</v>
      </c>
      <c r="C11" s="113">
        <v>3200</v>
      </c>
      <c r="D11" s="113">
        <v>0</v>
      </c>
      <c r="E11" s="113">
        <v>0</v>
      </c>
      <c r="F11" s="113" t="s">
        <v>436</v>
      </c>
      <c r="G11" s="64"/>
      <c r="H11" s="38">
        <v>0</v>
      </c>
      <c r="I11" s="64"/>
      <c r="J11" s="81">
        <v>117582</v>
      </c>
      <c r="K11" s="64"/>
      <c r="L11" s="62" t="s">
        <v>439</v>
      </c>
      <c r="M11" s="25" t="str">
        <f t="shared" ref="M11" si="0">IF((J11+H11)&gt;0.49,"*","")</f>
        <v>*</v>
      </c>
      <c r="O11" s="146" t="s">
        <v>238</v>
      </c>
      <c r="P11" s="146" t="s">
        <v>239</v>
      </c>
      <c r="Q11" s="146">
        <v>0</v>
      </c>
      <c r="R11" s="146">
        <v>0</v>
      </c>
      <c r="S11" s="141" t="s">
        <v>240</v>
      </c>
      <c r="T11" s="141" t="s">
        <v>241</v>
      </c>
      <c r="U11" s="140">
        <v>80063.360000000001</v>
      </c>
    </row>
    <row r="12" spans="1:22" ht="12.75" customHeight="1">
      <c r="A12" s="60"/>
      <c r="B12" s="150">
        <v>435</v>
      </c>
      <c r="C12" s="150">
        <v>3200</v>
      </c>
      <c r="D12" s="150">
        <v>1</v>
      </c>
      <c r="E12" s="150">
        <v>0</v>
      </c>
      <c r="F12" s="150" t="s">
        <v>437</v>
      </c>
      <c r="G12" s="151"/>
      <c r="H12" s="152">
        <v>0</v>
      </c>
      <c r="I12" s="151"/>
      <c r="J12" s="152">
        <f>+EnrNew*258</f>
        <v>12009.9</v>
      </c>
      <c r="K12" s="151"/>
      <c r="L12" s="153" t="s">
        <v>438</v>
      </c>
      <c r="M12" s="25" t="str">
        <f t="shared" ref="M12" si="1">IF((J12+H12)&gt;0.49,"*","")</f>
        <v>*</v>
      </c>
      <c r="O12" s="146" t="s">
        <v>238</v>
      </c>
      <c r="P12" s="146" t="s">
        <v>239</v>
      </c>
      <c r="Q12" s="146">
        <v>0</v>
      </c>
      <c r="R12" s="146">
        <v>0</v>
      </c>
      <c r="S12" s="141" t="s">
        <v>240</v>
      </c>
      <c r="T12" s="141" t="s">
        <v>241</v>
      </c>
      <c r="U12" s="140">
        <v>80063.360000000001</v>
      </c>
    </row>
    <row r="13" spans="1:22" ht="12.75" customHeight="1">
      <c r="A13" s="60"/>
      <c r="B13" s="113">
        <v>493</v>
      </c>
      <c r="C13" s="113">
        <v>3290</v>
      </c>
      <c r="D13" s="113">
        <v>0</v>
      </c>
      <c r="E13" s="113">
        <v>0</v>
      </c>
      <c r="F13" s="113" t="s">
        <v>378</v>
      </c>
      <c r="G13" s="64"/>
      <c r="H13" s="81">
        <v>0</v>
      </c>
      <c r="I13" s="64"/>
      <c r="J13" s="81">
        <v>212289.32</v>
      </c>
      <c r="K13" s="64"/>
      <c r="L13" s="62" t="s">
        <v>379</v>
      </c>
      <c r="M13" s="25" t="str">
        <f t="shared" ref="M13" si="2">IF((J13+H13)&gt;0.49,"*","")</f>
        <v>*</v>
      </c>
      <c r="O13" s="147">
        <v>100</v>
      </c>
      <c r="P13" s="147">
        <v>3230</v>
      </c>
      <c r="Q13" s="147">
        <v>0</v>
      </c>
      <c r="R13" s="147">
        <v>0</v>
      </c>
      <c r="S13" s="148" t="s">
        <v>154</v>
      </c>
      <c r="T13" s="148" t="s">
        <v>241</v>
      </c>
      <c r="U13" s="149">
        <v>64841</v>
      </c>
    </row>
    <row r="14" spans="1:22" ht="12.75" customHeight="1">
      <c r="A14" s="31"/>
      <c r="B14" s="113">
        <v>496</v>
      </c>
      <c r="C14" s="113">
        <v>3200</v>
      </c>
      <c r="D14" s="113">
        <v>0</v>
      </c>
      <c r="E14" s="113">
        <v>0</v>
      </c>
      <c r="F14" s="113" t="s">
        <v>240</v>
      </c>
      <c r="G14" s="64"/>
      <c r="H14" s="38">
        <v>80063.360000000001</v>
      </c>
      <c r="I14" s="64"/>
      <c r="J14" s="81">
        <v>0</v>
      </c>
      <c r="K14" s="64"/>
      <c r="L14" s="62" t="s">
        <v>171</v>
      </c>
      <c r="M14" s="25" t="str">
        <f t="shared" ref="M14:M27" si="3">IF((J14+H14)&gt;0.49,"*","")</f>
        <v>*</v>
      </c>
      <c r="O14" s="146" t="s">
        <v>238</v>
      </c>
      <c r="P14" s="146" t="s">
        <v>239</v>
      </c>
      <c r="Q14" s="146">
        <v>0</v>
      </c>
      <c r="R14" s="146">
        <v>0</v>
      </c>
      <c r="S14" s="141" t="s">
        <v>240</v>
      </c>
      <c r="T14" s="141" t="s">
        <v>241</v>
      </c>
      <c r="U14" s="140">
        <v>80063.360000000001</v>
      </c>
    </row>
    <row r="15" spans="1:22" ht="12.75" customHeight="1">
      <c r="A15" s="60"/>
      <c r="B15" s="150">
        <v>100</v>
      </c>
      <c r="C15" s="150">
        <v>3230</v>
      </c>
      <c r="D15" s="150">
        <v>0</v>
      </c>
      <c r="E15" s="150">
        <v>0</v>
      </c>
      <c r="F15" s="150" t="s">
        <v>154</v>
      </c>
      <c r="G15" s="151"/>
      <c r="H15" s="152">
        <v>64841</v>
      </c>
      <c r="I15" s="151"/>
      <c r="J15" s="152">
        <f t="shared" ref="J15:J24" si="4">H15</f>
        <v>64841</v>
      </c>
      <c r="K15" s="151"/>
      <c r="L15" s="153" t="s">
        <v>86</v>
      </c>
      <c r="M15" s="25" t="str">
        <f t="shared" si="3"/>
        <v>*</v>
      </c>
      <c r="O15" s="147">
        <v>100</v>
      </c>
      <c r="P15" s="147">
        <v>3230</v>
      </c>
      <c r="Q15" s="147">
        <v>0</v>
      </c>
      <c r="R15" s="147">
        <v>0</v>
      </c>
      <c r="S15" s="148" t="s">
        <v>154</v>
      </c>
      <c r="T15" s="148" t="s">
        <v>241</v>
      </c>
      <c r="U15" s="149">
        <v>64841</v>
      </c>
    </row>
    <row r="16" spans="1:22" ht="12.75" hidden="1" customHeight="1">
      <c r="A16" s="31"/>
      <c r="B16" s="113">
        <v>100</v>
      </c>
      <c r="C16" s="113">
        <v>3318</v>
      </c>
      <c r="D16" s="113">
        <v>0</v>
      </c>
      <c r="E16" s="113">
        <v>0</v>
      </c>
      <c r="F16" s="113" t="s">
        <v>191</v>
      </c>
      <c r="G16" s="64"/>
      <c r="H16" s="81"/>
      <c r="I16" s="64"/>
      <c r="J16" s="81">
        <v>0</v>
      </c>
      <c r="K16" s="64"/>
      <c r="L16" s="62" t="s">
        <v>171</v>
      </c>
      <c r="M16" s="25" t="str">
        <f t="shared" si="3"/>
        <v/>
      </c>
      <c r="O16" s="147"/>
      <c r="P16" s="147"/>
      <c r="Q16" s="147"/>
      <c r="R16" s="147"/>
      <c r="S16" s="148"/>
      <c r="T16" s="148"/>
      <c r="U16" s="149"/>
    </row>
    <row r="17" spans="1:21" ht="12.75" customHeight="1">
      <c r="A17" s="60"/>
      <c r="B17" s="113">
        <v>100</v>
      </c>
      <c r="C17" s="113">
        <v>3334</v>
      </c>
      <c r="D17" s="113">
        <v>0</v>
      </c>
      <c r="E17" s="113">
        <v>0</v>
      </c>
      <c r="F17" s="113" t="s">
        <v>190</v>
      </c>
      <c r="G17" s="64"/>
      <c r="H17" s="81">
        <v>921</v>
      </c>
      <c r="I17" s="64"/>
      <c r="J17" s="81">
        <f t="shared" si="4"/>
        <v>921</v>
      </c>
      <c r="K17" s="64"/>
      <c r="L17" s="62" t="s">
        <v>86</v>
      </c>
      <c r="M17" s="25" t="str">
        <f t="shared" si="3"/>
        <v>*</v>
      </c>
      <c r="O17" s="146">
        <v>100</v>
      </c>
      <c r="P17" s="146">
        <v>3334</v>
      </c>
      <c r="Q17" s="146">
        <v>0</v>
      </c>
      <c r="R17" s="146">
        <v>0</v>
      </c>
      <c r="S17" s="141" t="s">
        <v>190</v>
      </c>
      <c r="T17" s="141" t="s">
        <v>244</v>
      </c>
      <c r="U17" s="140">
        <v>921</v>
      </c>
    </row>
    <row r="18" spans="1:21" ht="12.75" customHeight="1">
      <c r="A18" s="60"/>
      <c r="B18" s="113">
        <v>100</v>
      </c>
      <c r="C18" s="113">
        <v>3374</v>
      </c>
      <c r="D18" s="113">
        <v>0</v>
      </c>
      <c r="E18" s="113">
        <v>0</v>
      </c>
      <c r="F18" s="113" t="s">
        <v>247</v>
      </c>
      <c r="G18" s="64"/>
      <c r="H18" s="81">
        <v>9695</v>
      </c>
      <c r="I18" s="64"/>
      <c r="J18" s="81">
        <v>0</v>
      </c>
      <c r="K18" s="64"/>
      <c r="L18" s="62" t="s">
        <v>171</v>
      </c>
      <c r="M18" s="25" t="str">
        <f t="shared" si="3"/>
        <v>*</v>
      </c>
      <c r="O18" s="146">
        <v>100</v>
      </c>
      <c r="P18" s="146" t="s">
        <v>246</v>
      </c>
      <c r="Q18" s="146">
        <v>0</v>
      </c>
      <c r="R18" s="146">
        <v>0</v>
      </c>
      <c r="S18" s="141" t="s">
        <v>247</v>
      </c>
      <c r="T18" s="141" t="s">
        <v>244</v>
      </c>
      <c r="U18" s="140">
        <v>9695</v>
      </c>
    </row>
    <row r="19" spans="1:21" ht="12.75" customHeight="1">
      <c r="A19" s="31"/>
      <c r="B19" s="150">
        <v>100</v>
      </c>
      <c r="C19" s="150">
        <v>3390</v>
      </c>
      <c r="D19" s="150">
        <v>0</v>
      </c>
      <c r="E19" s="150">
        <v>0</v>
      </c>
      <c r="F19" s="150" t="s">
        <v>186</v>
      </c>
      <c r="G19" s="151"/>
      <c r="H19" s="152">
        <v>16145.58</v>
      </c>
      <c r="I19" s="151"/>
      <c r="J19" s="152">
        <f t="shared" si="4"/>
        <v>16145.58</v>
      </c>
      <c r="K19" s="151"/>
      <c r="L19" s="153" t="s">
        <v>86</v>
      </c>
      <c r="M19" s="25" t="str">
        <f t="shared" si="3"/>
        <v>*</v>
      </c>
      <c r="O19" s="147">
        <v>100</v>
      </c>
      <c r="P19" s="147">
        <v>3390</v>
      </c>
      <c r="Q19" s="147">
        <v>0</v>
      </c>
      <c r="R19" s="147">
        <v>0</v>
      </c>
      <c r="S19" s="148" t="s">
        <v>172</v>
      </c>
      <c r="T19" s="148" t="s">
        <v>244</v>
      </c>
      <c r="U19" s="149">
        <v>294800</v>
      </c>
    </row>
    <row r="20" spans="1:21" ht="12.75" hidden="1" customHeight="1">
      <c r="A20" s="31"/>
      <c r="B20" s="113">
        <v>100</v>
      </c>
      <c r="C20" s="113">
        <v>3390</v>
      </c>
      <c r="D20" s="113">
        <v>0</v>
      </c>
      <c r="E20" s="113">
        <v>0</v>
      </c>
      <c r="F20" s="113" t="s">
        <v>226</v>
      </c>
      <c r="G20" s="64"/>
      <c r="H20" s="81"/>
      <c r="I20" s="64"/>
      <c r="J20" s="81">
        <v>0</v>
      </c>
      <c r="K20" s="64"/>
      <c r="L20" s="62"/>
      <c r="M20" s="25" t="str">
        <f t="shared" si="3"/>
        <v/>
      </c>
      <c r="O20" s="147"/>
      <c r="P20" s="147"/>
      <c r="Q20" s="147"/>
      <c r="R20" s="147"/>
      <c r="S20" s="148"/>
      <c r="T20" s="148"/>
      <c r="U20" s="149"/>
    </row>
    <row r="21" spans="1:21" ht="12.75" hidden="1" customHeight="1">
      <c r="A21" s="31"/>
      <c r="B21" s="113">
        <v>100</v>
      </c>
      <c r="C21" s="113">
        <v>3395</v>
      </c>
      <c r="D21" s="113">
        <v>0</v>
      </c>
      <c r="E21" s="113">
        <v>0</v>
      </c>
      <c r="F21" s="113" t="s">
        <v>250</v>
      </c>
      <c r="G21" s="141"/>
      <c r="H21" s="81">
        <v>0</v>
      </c>
      <c r="I21" s="64"/>
      <c r="J21" s="81">
        <v>0</v>
      </c>
      <c r="K21" s="64"/>
      <c r="L21" s="62"/>
      <c r="M21" s="25" t="str">
        <f t="shared" si="3"/>
        <v/>
      </c>
      <c r="O21" s="146">
        <v>100</v>
      </c>
      <c r="P21" s="146">
        <v>3395</v>
      </c>
      <c r="Q21" s="146">
        <v>0</v>
      </c>
      <c r="R21" s="146">
        <v>0</v>
      </c>
      <c r="S21" s="141" t="s">
        <v>250</v>
      </c>
      <c r="T21" s="141" t="s">
        <v>244</v>
      </c>
      <c r="U21" s="140">
        <v>0</v>
      </c>
    </row>
    <row r="22" spans="1:21" ht="12.75" customHeight="1">
      <c r="A22" s="60"/>
      <c r="B22" s="113">
        <v>100</v>
      </c>
      <c r="C22" s="113">
        <v>3400</v>
      </c>
      <c r="D22" s="113">
        <v>0</v>
      </c>
      <c r="E22" s="113">
        <v>0</v>
      </c>
      <c r="F22" s="113" t="s">
        <v>93</v>
      </c>
      <c r="G22" s="64"/>
      <c r="H22" s="81">
        <v>30.240000000000002</v>
      </c>
      <c r="I22" s="64"/>
      <c r="J22" s="81">
        <f t="shared" si="4"/>
        <v>30.240000000000002</v>
      </c>
      <c r="K22" s="64"/>
      <c r="L22" s="62" t="s">
        <v>86</v>
      </c>
      <c r="M22" s="25" t="str">
        <f t="shared" si="3"/>
        <v>*</v>
      </c>
      <c r="O22" s="144">
        <v>100</v>
      </c>
      <c r="P22" s="144">
        <v>3400</v>
      </c>
      <c r="Q22" s="144">
        <v>0</v>
      </c>
      <c r="R22" s="144">
        <v>0</v>
      </c>
      <c r="S22" s="138" t="s">
        <v>93</v>
      </c>
      <c r="T22" s="138" t="s">
        <v>253</v>
      </c>
      <c r="U22" s="145">
        <v>30.240000000000002</v>
      </c>
    </row>
    <row r="23" spans="1:21" ht="12.75" customHeight="1">
      <c r="A23" s="31"/>
      <c r="B23" s="113">
        <v>100</v>
      </c>
      <c r="C23" s="113">
        <v>3473</v>
      </c>
      <c r="D23" s="113">
        <v>0</v>
      </c>
      <c r="E23" s="113">
        <v>0</v>
      </c>
      <c r="F23" s="113" t="s">
        <v>94</v>
      </c>
      <c r="G23" s="64"/>
      <c r="H23" s="81">
        <v>14080.73</v>
      </c>
      <c r="I23" s="64"/>
      <c r="J23" s="81">
        <f t="shared" ref="J23" si="5">H23</f>
        <v>14080.73</v>
      </c>
      <c r="K23" s="64"/>
      <c r="L23" s="62" t="s">
        <v>86</v>
      </c>
      <c r="M23" s="25" t="str">
        <f t="shared" si="3"/>
        <v>*</v>
      </c>
      <c r="O23" s="144">
        <v>100</v>
      </c>
      <c r="P23" s="144" t="s">
        <v>255</v>
      </c>
      <c r="Q23" s="144">
        <v>0</v>
      </c>
      <c r="R23" s="144">
        <v>0</v>
      </c>
      <c r="S23" s="138" t="s">
        <v>94</v>
      </c>
      <c r="T23" s="138" t="s">
        <v>253</v>
      </c>
      <c r="U23" s="145">
        <v>14080.73</v>
      </c>
    </row>
    <row r="24" spans="1:21" ht="12.75" hidden="1" customHeight="1">
      <c r="A24" s="31"/>
      <c r="B24" s="113">
        <v>100</v>
      </c>
      <c r="C24" s="113">
        <v>3476</v>
      </c>
      <c r="D24" s="113">
        <v>0</v>
      </c>
      <c r="E24" s="113">
        <v>0</v>
      </c>
      <c r="F24" s="114" t="s">
        <v>95</v>
      </c>
      <c r="G24" s="64"/>
      <c r="H24" s="81">
        <v>0</v>
      </c>
      <c r="I24" s="64"/>
      <c r="J24" s="81">
        <f t="shared" si="4"/>
        <v>0</v>
      </c>
      <c r="K24" s="64"/>
      <c r="L24" s="62" t="s">
        <v>86</v>
      </c>
      <c r="M24" s="25" t="str">
        <f t="shared" si="3"/>
        <v/>
      </c>
      <c r="O24" s="144"/>
      <c r="P24" s="144"/>
      <c r="Q24" s="144"/>
      <c r="R24" s="144"/>
      <c r="S24" s="138"/>
      <c r="T24" s="138"/>
      <c r="U24" s="145"/>
    </row>
    <row r="25" spans="1:21" ht="12.75" customHeight="1">
      <c r="A25" s="31"/>
      <c r="B25" s="113">
        <v>100</v>
      </c>
      <c r="C25" s="113">
        <v>3497</v>
      </c>
      <c r="D25" s="113">
        <v>0</v>
      </c>
      <c r="E25" s="113">
        <v>0</v>
      </c>
      <c r="F25" s="114" t="s">
        <v>258</v>
      </c>
      <c r="G25" s="64"/>
      <c r="H25" s="81">
        <v>3685.94</v>
      </c>
      <c r="I25" s="64"/>
      <c r="J25" s="81">
        <v>0</v>
      </c>
      <c r="K25" s="64"/>
      <c r="L25" s="62" t="s">
        <v>171</v>
      </c>
      <c r="M25" s="25" t="str">
        <f t="shared" si="3"/>
        <v>*</v>
      </c>
      <c r="O25" s="144">
        <v>100</v>
      </c>
      <c r="P25" s="144" t="s">
        <v>257</v>
      </c>
      <c r="Q25" s="144">
        <v>0</v>
      </c>
      <c r="R25" s="144">
        <v>0</v>
      </c>
      <c r="S25" s="138" t="s">
        <v>258</v>
      </c>
      <c r="T25" s="138" t="s">
        <v>253</v>
      </c>
      <c r="U25" s="145">
        <v>3685.94</v>
      </c>
    </row>
    <row r="26" spans="1:21" ht="12.75" customHeight="1">
      <c r="A26" s="31"/>
      <c r="B26" s="150">
        <v>100</v>
      </c>
      <c r="C26" s="150">
        <v>3600</v>
      </c>
      <c r="D26" s="150">
        <v>0</v>
      </c>
      <c r="E26" s="150">
        <v>0</v>
      </c>
      <c r="F26" s="154" t="s">
        <v>96</v>
      </c>
      <c r="G26" s="151"/>
      <c r="H26" s="152">
        <v>176744.53</v>
      </c>
      <c r="I26" s="151"/>
      <c r="J26" s="152">
        <f>H26*50%</f>
        <v>88372.264999999999</v>
      </c>
      <c r="K26" s="151"/>
      <c r="L26" s="153" t="s">
        <v>435</v>
      </c>
      <c r="M26" s="25" t="str">
        <f t="shared" si="3"/>
        <v>*</v>
      </c>
      <c r="O26" s="144">
        <v>100</v>
      </c>
      <c r="P26" s="144">
        <v>3600</v>
      </c>
      <c r="Q26" s="144">
        <v>0</v>
      </c>
      <c r="R26" s="144">
        <v>0</v>
      </c>
      <c r="S26" s="138" t="s">
        <v>96</v>
      </c>
      <c r="T26" s="138" t="s">
        <v>253</v>
      </c>
      <c r="U26" s="145">
        <v>176744.53</v>
      </c>
    </row>
    <row r="27" spans="1:21" ht="12.75" customHeight="1">
      <c r="A27" s="25"/>
      <c r="B27" s="113">
        <v>360</v>
      </c>
      <c r="C27" s="113">
        <v>3397</v>
      </c>
      <c r="D27" s="113">
        <v>0</v>
      </c>
      <c r="E27" s="113">
        <v>0</v>
      </c>
      <c r="F27" s="114" t="s">
        <v>131</v>
      </c>
      <c r="H27" s="81">
        <v>35230</v>
      </c>
      <c r="I27" s="64"/>
      <c r="J27" s="81">
        <f>+H27/EnrOld*EnrNew*90%</f>
        <v>31707</v>
      </c>
      <c r="K27" s="64"/>
      <c r="L27" s="62" t="s">
        <v>215</v>
      </c>
      <c r="M27" s="25" t="str">
        <f t="shared" si="3"/>
        <v>*</v>
      </c>
      <c r="O27" s="144">
        <v>360</v>
      </c>
      <c r="P27" s="144">
        <v>3397</v>
      </c>
      <c r="Q27" s="144">
        <v>0</v>
      </c>
      <c r="R27" s="144">
        <v>0</v>
      </c>
      <c r="S27" s="138" t="s">
        <v>131</v>
      </c>
      <c r="T27" s="138" t="s">
        <v>244</v>
      </c>
      <c r="U27" s="145">
        <v>35230</v>
      </c>
    </row>
    <row r="28" spans="1:21" ht="12.75" hidden="1" customHeight="1">
      <c r="B28" s="78"/>
      <c r="C28" s="78"/>
      <c r="D28" s="120"/>
      <c r="E28" s="121"/>
      <c r="F28" s="79"/>
      <c r="G28" s="64"/>
      <c r="H28" s="81"/>
      <c r="I28" s="64"/>
      <c r="J28" s="81"/>
      <c r="K28" s="64"/>
      <c r="L28" s="62"/>
      <c r="M28" s="25" t="str">
        <f t="shared" ref="M28:M35" si="6">IF(J32&gt;0.49,"*","")</f>
        <v/>
      </c>
    </row>
    <row r="29" spans="1:21" ht="12.75" hidden="1" customHeight="1">
      <c r="A29" s="25"/>
      <c r="B29" s="72"/>
      <c r="C29" s="72"/>
      <c r="D29" s="73"/>
      <c r="E29" s="74"/>
      <c r="F29" s="75"/>
      <c r="H29" s="76"/>
      <c r="J29" s="38"/>
      <c r="L29" s="49"/>
      <c r="M29" s="25" t="str">
        <f t="shared" si="6"/>
        <v/>
      </c>
    </row>
    <row r="30" spans="1:21" ht="12.75" hidden="1" customHeight="1">
      <c r="A30" s="25"/>
      <c r="B30" s="72"/>
      <c r="C30" s="72"/>
      <c r="D30" s="73"/>
      <c r="E30" s="74"/>
      <c r="F30" s="75"/>
      <c r="H30" s="76"/>
      <c r="J30" s="38"/>
      <c r="L30" s="49"/>
      <c r="M30" s="25" t="str">
        <f t="shared" si="6"/>
        <v/>
      </c>
    </row>
    <row r="31" spans="1:21" ht="12.75" hidden="1" customHeight="1">
      <c r="A31" s="25"/>
      <c r="B31" s="72"/>
      <c r="C31" s="72"/>
      <c r="D31" s="73"/>
      <c r="E31" s="74"/>
      <c r="F31" s="75"/>
      <c r="H31" s="76"/>
      <c r="J31" s="38"/>
      <c r="L31" s="49"/>
      <c r="M31" s="31" t="str">
        <f t="shared" si="6"/>
        <v/>
      </c>
    </row>
    <row r="32" spans="1:21" ht="12.75" hidden="1" customHeight="1">
      <c r="A32" s="25"/>
      <c r="B32" s="72"/>
      <c r="C32" s="72"/>
      <c r="D32" s="73"/>
      <c r="E32" s="74"/>
      <c r="F32" s="75"/>
      <c r="H32" s="76"/>
      <c r="J32" s="38"/>
      <c r="L32" s="49"/>
      <c r="M32" s="25" t="str">
        <f t="shared" si="6"/>
        <v/>
      </c>
    </row>
    <row r="33" spans="1:13" ht="12.75" hidden="1" customHeight="1">
      <c r="A33" s="25"/>
      <c r="B33" s="72"/>
      <c r="C33" s="72"/>
      <c r="D33" s="73"/>
      <c r="E33" s="74"/>
      <c r="F33" s="75"/>
      <c r="H33" s="76"/>
      <c r="J33" s="38"/>
      <c r="L33" s="49"/>
      <c r="M33" s="25" t="str">
        <f t="shared" si="6"/>
        <v/>
      </c>
    </row>
    <row r="34" spans="1:13" ht="12.75" hidden="1" customHeight="1">
      <c r="A34" s="25"/>
      <c r="B34" s="72"/>
      <c r="C34" s="72"/>
      <c r="D34" s="73"/>
      <c r="E34" s="74"/>
      <c r="F34" s="75"/>
      <c r="H34" s="76"/>
      <c r="J34" s="38"/>
      <c r="L34" s="49"/>
      <c r="M34" s="25" t="str">
        <f t="shared" si="6"/>
        <v/>
      </c>
    </row>
    <row r="35" spans="1:13" ht="12.75" hidden="1" customHeight="1">
      <c r="A35" s="25"/>
      <c r="B35" s="72"/>
      <c r="C35" s="72"/>
      <c r="D35" s="73"/>
      <c r="E35" s="74"/>
      <c r="F35" s="75"/>
      <c r="H35" s="76"/>
      <c r="J35" s="38"/>
      <c r="L35" s="49"/>
      <c r="M35" s="25" t="str">
        <f t="shared" si="6"/>
        <v/>
      </c>
    </row>
    <row r="36" spans="1:13" ht="12.75" hidden="1" customHeight="1">
      <c r="A36" s="25"/>
      <c r="B36" s="72"/>
      <c r="C36" s="72"/>
      <c r="D36" s="73"/>
      <c r="E36" s="74"/>
      <c r="F36" s="75"/>
      <c r="H36" s="76"/>
      <c r="J36" s="38"/>
      <c r="L36" s="49"/>
    </row>
    <row r="37" spans="1:13" ht="12.75" hidden="1" customHeight="1">
      <c r="A37" s="25"/>
      <c r="B37" s="33"/>
      <c r="C37" s="33"/>
      <c r="D37" s="33"/>
      <c r="E37" s="33"/>
      <c r="F37" s="33"/>
      <c r="H37" s="77"/>
      <c r="J37" s="81"/>
      <c r="L37" s="49"/>
    </row>
    <row r="38" spans="1:13" ht="12.75" hidden="1" customHeight="1">
      <c r="A38" s="25"/>
      <c r="B38" s="45"/>
      <c r="C38" s="45"/>
      <c r="D38" s="45"/>
      <c r="E38" s="45"/>
      <c r="F38" s="45"/>
      <c r="H38" s="46"/>
      <c r="J38" s="38"/>
      <c r="L38" s="49"/>
      <c r="M38" s="25" t="str">
        <f t="shared" ref="M38:M41" si="7">IF(J42&gt;0.49,"*","")</f>
        <v/>
      </c>
    </row>
    <row r="39" spans="1:13" ht="12.75" hidden="1" customHeight="1">
      <c r="A39" s="25"/>
      <c r="B39" s="33"/>
      <c r="C39" s="33"/>
      <c r="D39" s="33"/>
      <c r="E39" s="33"/>
      <c r="F39" s="33"/>
      <c r="H39" s="46"/>
      <c r="J39" s="38"/>
      <c r="L39" s="49"/>
      <c r="M39" s="25" t="str">
        <f t="shared" si="7"/>
        <v/>
      </c>
    </row>
    <row r="40" spans="1:13" ht="12.75" customHeight="1">
      <c r="A40" s="25"/>
      <c r="B40" s="33"/>
      <c r="C40" s="33"/>
      <c r="D40" s="33"/>
      <c r="E40" s="33"/>
      <c r="F40" s="33"/>
      <c r="H40" s="46"/>
      <c r="J40" s="38"/>
      <c r="L40" s="49"/>
      <c r="M40" s="25" t="str">
        <f>M41</f>
        <v>*</v>
      </c>
    </row>
    <row r="41" spans="1:13" ht="12.75" customHeight="1">
      <c r="A41" s="25"/>
      <c r="B41" s="33"/>
      <c r="C41" s="33"/>
      <c r="D41" s="33"/>
      <c r="E41" s="33"/>
      <c r="F41" s="33"/>
      <c r="H41" s="46"/>
      <c r="J41" s="38"/>
      <c r="L41" s="41"/>
      <c r="M41" s="25" t="str">
        <f t="shared" si="7"/>
        <v>*</v>
      </c>
    </row>
    <row r="42" spans="1:13" ht="12.75" hidden="1" customHeight="1">
      <c r="A42" s="25"/>
      <c r="B42" s="33"/>
      <c r="C42" s="33"/>
      <c r="D42" s="33"/>
      <c r="E42" s="33"/>
      <c r="F42" s="33"/>
      <c r="H42" s="46"/>
      <c r="J42" s="38"/>
      <c r="L42" s="41"/>
    </row>
    <row r="43" spans="1:13" ht="12.75" hidden="1" customHeight="1">
      <c r="A43" s="25"/>
      <c r="B43" s="33"/>
      <c r="C43" s="33"/>
      <c r="D43" s="33"/>
      <c r="E43" s="33"/>
      <c r="F43" s="33"/>
      <c r="H43" s="46"/>
      <c r="J43" s="38"/>
      <c r="L43" s="41"/>
    </row>
    <row r="44" spans="1:13" ht="12.75" hidden="1" customHeight="1">
      <c r="A44" s="25"/>
      <c r="B44" s="33"/>
      <c r="C44" s="33"/>
      <c r="D44" s="33"/>
      <c r="E44" s="33"/>
      <c r="F44" s="33"/>
      <c r="H44" s="38"/>
      <c r="J44" s="38"/>
      <c r="L44" s="17"/>
    </row>
    <row r="45" spans="1:13" ht="12.75" hidden="1" customHeight="1">
      <c r="A45" s="25"/>
      <c r="B45" s="33"/>
      <c r="C45" s="33"/>
      <c r="D45" s="33"/>
      <c r="E45" s="33"/>
      <c r="F45" s="33"/>
      <c r="H45" s="38">
        <f>SUM(H10:H44)</f>
        <v>1132129.3799999999</v>
      </c>
      <c r="J45" s="38">
        <f>SUM(J10:J43)</f>
        <v>1288671.0349999999</v>
      </c>
      <c r="L45" s="17"/>
    </row>
    <row r="46" spans="1:13" ht="12.75" hidden="1" customHeight="1">
      <c r="A46" s="25"/>
      <c r="B46" s="25"/>
      <c r="C46" s="25"/>
      <c r="D46" s="25"/>
      <c r="E46" s="25"/>
      <c r="F46" s="25"/>
      <c r="H46" s="38"/>
      <c r="J46" s="38"/>
      <c r="L46" s="17"/>
    </row>
    <row r="47" spans="1:13" ht="12.75" hidden="1" customHeight="1">
      <c r="A47" s="25"/>
      <c r="B47" s="33"/>
      <c r="C47" s="33"/>
      <c r="D47" s="33"/>
      <c r="E47" s="33"/>
      <c r="F47" s="33"/>
      <c r="H47" s="27"/>
      <c r="J47" s="27"/>
      <c r="L47" s="17"/>
    </row>
    <row r="48" spans="1:13" ht="12.75" hidden="1" customHeight="1">
      <c r="A48" s="25"/>
      <c r="B48" s="33"/>
      <c r="C48" s="33"/>
      <c r="D48" s="33"/>
      <c r="E48" s="33"/>
      <c r="F48" s="33"/>
      <c r="H48" s="38"/>
      <c r="J48" s="38"/>
      <c r="L48" s="17"/>
    </row>
    <row r="49" spans="1:12" ht="12.75" hidden="1" customHeight="1">
      <c r="A49" s="25"/>
      <c r="B49" s="33"/>
      <c r="C49" s="33"/>
      <c r="D49" s="33"/>
      <c r="E49" s="33"/>
      <c r="F49" s="33"/>
      <c r="H49" s="38"/>
      <c r="J49" s="38"/>
      <c r="L49" s="17"/>
    </row>
    <row r="50" spans="1:12" ht="12.75" hidden="1" customHeight="1">
      <c r="A50" s="25"/>
      <c r="B50" s="33"/>
      <c r="C50" s="33"/>
      <c r="D50" s="33"/>
      <c r="E50" s="33"/>
      <c r="F50" s="33"/>
      <c r="H50" s="53" t="s">
        <v>132</v>
      </c>
      <c r="J50" s="53">
        <v>46.55</v>
      </c>
      <c r="L50" s="63"/>
    </row>
    <row r="51" spans="1:12" ht="12.75" hidden="1" customHeight="1">
      <c r="A51" s="25"/>
      <c r="B51" s="33"/>
      <c r="C51" s="33"/>
      <c r="D51" s="33"/>
      <c r="E51" s="33"/>
      <c r="F51" s="33"/>
      <c r="H51" s="53" t="s">
        <v>133</v>
      </c>
      <c r="J51" s="53">
        <v>46.55</v>
      </c>
      <c r="L51" s="63"/>
    </row>
    <row r="52" spans="1:12" ht="12.75" hidden="1" customHeight="1">
      <c r="A52" s="25"/>
      <c r="B52" s="33"/>
      <c r="C52" s="33"/>
      <c r="D52" s="33"/>
      <c r="E52" s="33"/>
      <c r="F52" s="33"/>
      <c r="H52" s="53" t="s">
        <v>134</v>
      </c>
      <c r="J52" s="40">
        <v>1.01</v>
      </c>
      <c r="L52" s="63"/>
    </row>
    <row r="53" spans="1:12" ht="12.75" hidden="1" customHeight="1">
      <c r="A53" s="25"/>
      <c r="B53" s="33"/>
      <c r="C53" s="33"/>
      <c r="D53" s="33"/>
      <c r="E53" s="33"/>
      <c r="F53" s="33"/>
      <c r="H53" s="130" t="s">
        <v>135</v>
      </c>
      <c r="I53" s="64"/>
      <c r="J53" s="131">
        <v>1.02</v>
      </c>
      <c r="K53" s="64"/>
      <c r="L53" s="63"/>
    </row>
    <row r="54" spans="1:12" ht="12.75" hidden="1" customHeight="1">
      <c r="A54" s="25"/>
      <c r="B54" s="33"/>
      <c r="C54" s="33"/>
      <c r="D54" s="33"/>
      <c r="E54" s="33"/>
      <c r="F54" s="33"/>
      <c r="H54" s="81"/>
      <c r="I54" s="64"/>
      <c r="J54" s="81"/>
      <c r="K54" s="64"/>
      <c r="L54" s="63"/>
    </row>
    <row r="55" spans="1:12" ht="12.75" hidden="1" customHeight="1">
      <c r="A55" s="25"/>
      <c r="B55" s="25"/>
      <c r="C55" s="25"/>
      <c r="D55" s="25"/>
      <c r="E55" s="25"/>
      <c r="F55" s="25"/>
      <c r="H55" s="53" t="s">
        <v>130</v>
      </c>
      <c r="J55" s="83">
        <f>+H10/EnrOld*EnrNew</f>
        <v>730692</v>
      </c>
      <c r="L55" s="63"/>
    </row>
    <row r="56" spans="1:12" ht="12.75" hidden="1" customHeight="1">
      <c r="A56" s="25"/>
      <c r="B56" s="25"/>
      <c r="C56" s="25"/>
      <c r="D56" s="25"/>
      <c r="E56" s="25"/>
      <c r="F56" s="25"/>
      <c r="H56" s="53" t="s">
        <v>178</v>
      </c>
      <c r="J56" s="83">
        <f>409751/EnrOld*EnrNew</f>
        <v>409751.00000000006</v>
      </c>
      <c r="L56" s="63"/>
    </row>
    <row r="57" spans="1:12" ht="12.75" hidden="1" customHeight="1">
      <c r="A57" s="25"/>
      <c r="B57" s="25"/>
      <c r="C57" s="25"/>
      <c r="D57" s="25"/>
      <c r="E57" s="25"/>
      <c r="F57" s="25"/>
      <c r="H57" s="53" t="s">
        <v>143</v>
      </c>
      <c r="J57" s="110">
        <f>+J56*5%</f>
        <v>20487.550000000003</v>
      </c>
      <c r="L57" s="63"/>
    </row>
    <row r="58" spans="1:12" ht="12.75" hidden="1" customHeight="1">
      <c r="A58" s="25"/>
      <c r="B58" s="25"/>
      <c r="C58" s="25"/>
      <c r="D58" s="25"/>
      <c r="E58" s="25"/>
      <c r="F58" s="25"/>
      <c r="H58" s="53" t="s">
        <v>136</v>
      </c>
      <c r="J58" s="110">
        <f>+J56*5%</f>
        <v>20487.550000000003</v>
      </c>
      <c r="L58" s="63"/>
    </row>
    <row r="59" spans="1:12" ht="12.75" hidden="1" customHeight="1">
      <c r="A59" s="25"/>
      <c r="B59" s="25"/>
      <c r="C59" s="25"/>
      <c r="D59" s="25"/>
      <c r="E59" s="25"/>
      <c r="F59" s="25"/>
      <c r="H59" s="53"/>
      <c r="J59" s="38"/>
      <c r="L59" s="17"/>
    </row>
    <row r="60" spans="1:12" ht="12.75" hidden="1" customHeight="1">
      <c r="A60" s="25"/>
      <c r="B60" s="25"/>
      <c r="C60" s="25"/>
      <c r="D60" s="25"/>
      <c r="E60" s="25"/>
      <c r="F60" s="25"/>
      <c r="H60" s="27"/>
      <c r="J60" s="38"/>
      <c r="L60" s="17"/>
    </row>
    <row r="61" spans="1:12" ht="12.75" hidden="1" customHeight="1">
      <c r="A61" s="25"/>
      <c r="B61" s="25"/>
      <c r="C61" s="25"/>
      <c r="D61" s="25"/>
      <c r="E61" s="25"/>
      <c r="F61" s="25"/>
      <c r="H61" s="27"/>
      <c r="J61" s="27"/>
      <c r="L61" s="17"/>
    </row>
    <row r="62" spans="1:12" ht="12.75" hidden="1" customHeight="1">
      <c r="A62" s="25"/>
      <c r="B62" s="25"/>
      <c r="C62" s="25"/>
      <c r="D62" s="25"/>
      <c r="E62" s="25"/>
      <c r="F62" s="25"/>
      <c r="H62" s="27"/>
      <c r="J62" s="27"/>
      <c r="L62" s="17"/>
    </row>
    <row r="63" spans="1:12" ht="12.75" hidden="1" customHeight="1">
      <c r="A63" s="25"/>
      <c r="B63" s="25"/>
      <c r="C63" s="25"/>
      <c r="D63" s="25"/>
      <c r="E63" s="25"/>
      <c r="F63" s="25"/>
      <c r="H63" s="27"/>
      <c r="J63" s="27"/>
      <c r="L63" s="17"/>
    </row>
    <row r="64" spans="1:12" ht="12.75" hidden="1" customHeight="1">
      <c r="A64" s="25"/>
      <c r="B64" s="25"/>
      <c r="C64" s="25"/>
      <c r="D64" s="25"/>
      <c r="E64" s="25"/>
      <c r="F64" s="25"/>
      <c r="H64" s="27"/>
      <c r="J64" s="27"/>
      <c r="L64" s="17"/>
    </row>
    <row r="65" spans="1:12" ht="12.75" hidden="1" customHeight="1">
      <c r="A65" s="25"/>
      <c r="B65" s="25"/>
      <c r="C65" s="25"/>
      <c r="D65" s="25"/>
      <c r="E65" s="25"/>
      <c r="F65" s="25"/>
      <c r="H65" s="27"/>
      <c r="J65" s="27"/>
      <c r="L65" s="17"/>
    </row>
    <row r="66" spans="1:12" ht="12.75" hidden="1" customHeight="1">
      <c r="A66" s="25"/>
      <c r="B66" s="25"/>
      <c r="C66" s="25"/>
      <c r="D66" s="25"/>
      <c r="E66" s="25"/>
      <c r="F66" s="25"/>
      <c r="H66" s="27"/>
      <c r="J66" s="27"/>
      <c r="L66" s="17"/>
    </row>
    <row r="67" spans="1:12" ht="12.75" hidden="1" customHeight="1">
      <c r="A67" s="25"/>
      <c r="B67" s="25"/>
      <c r="C67" s="25"/>
      <c r="D67" s="25"/>
      <c r="E67" s="25"/>
      <c r="F67" s="25"/>
      <c r="H67" s="27"/>
      <c r="J67" s="27"/>
      <c r="L67" s="17"/>
    </row>
    <row r="68" spans="1:12" ht="12.75" hidden="1" customHeight="1">
      <c r="A68" s="25"/>
      <c r="B68" s="25"/>
      <c r="C68" s="25"/>
      <c r="D68" s="25"/>
      <c r="E68" s="25"/>
      <c r="F68" s="25"/>
      <c r="H68" s="27"/>
      <c r="J68" s="27"/>
      <c r="L68" s="17"/>
    </row>
    <row r="69" spans="1:12" ht="12.75" hidden="1" customHeight="1">
      <c r="A69" s="25"/>
      <c r="B69" s="25"/>
      <c r="C69" s="25"/>
      <c r="D69" s="25"/>
      <c r="E69" s="25"/>
      <c r="F69" s="25"/>
      <c r="H69" s="27"/>
      <c r="J69" s="27"/>
      <c r="L69" s="17"/>
    </row>
    <row r="70" spans="1:12" ht="12.75" hidden="1" customHeight="1">
      <c r="A70" s="25"/>
      <c r="B70" s="25"/>
      <c r="C70" s="25"/>
      <c r="D70" s="25"/>
      <c r="E70" s="25"/>
      <c r="F70" s="25"/>
      <c r="H70" s="27"/>
      <c r="J70" s="27"/>
      <c r="L70" s="17"/>
    </row>
    <row r="71" spans="1:12" ht="12.75" hidden="1" customHeight="1">
      <c r="A71" s="25"/>
      <c r="B71" s="25"/>
      <c r="C71" s="25"/>
      <c r="D71" s="25"/>
      <c r="E71" s="25"/>
      <c r="F71" s="25"/>
      <c r="H71" s="27"/>
      <c r="J71" s="27"/>
      <c r="L71" s="17"/>
    </row>
    <row r="72" spans="1:12" ht="12.75" hidden="1" customHeight="1">
      <c r="A72" s="25"/>
      <c r="B72" s="25"/>
      <c r="C72" s="25"/>
      <c r="D72" s="25"/>
      <c r="E72" s="25"/>
      <c r="F72" s="25"/>
      <c r="H72" s="27"/>
      <c r="J72" s="27"/>
      <c r="L72" s="17"/>
    </row>
    <row r="73" spans="1:12" ht="12.75" hidden="1" customHeight="1">
      <c r="A73" s="25"/>
      <c r="B73" s="25"/>
      <c r="C73" s="25"/>
      <c r="D73" s="25"/>
      <c r="E73" s="25"/>
      <c r="F73" s="25"/>
      <c r="H73" s="27"/>
      <c r="J73" s="27"/>
      <c r="L73" s="17"/>
    </row>
    <row r="74" spans="1:12" ht="12.75" hidden="1" customHeight="1">
      <c r="A74" s="25"/>
      <c r="B74" s="25"/>
      <c r="C74" s="25"/>
      <c r="D74" s="25"/>
      <c r="E74" s="25"/>
      <c r="F74" s="25"/>
      <c r="H74" s="27"/>
      <c r="J74" s="27"/>
      <c r="L74" s="17"/>
    </row>
    <row r="75" spans="1:12" ht="12.75" hidden="1" customHeight="1">
      <c r="A75" s="25"/>
      <c r="B75" s="25"/>
      <c r="C75" s="25"/>
      <c r="D75" s="25"/>
      <c r="E75" s="25"/>
      <c r="F75" s="25"/>
      <c r="H75" s="27"/>
      <c r="J75" s="27"/>
      <c r="L75" s="17"/>
    </row>
    <row r="76" spans="1:12" ht="12.75" hidden="1" customHeight="1">
      <c r="A76" s="25"/>
      <c r="B76" s="25"/>
      <c r="C76" s="25"/>
      <c r="D76" s="25"/>
      <c r="E76" s="25"/>
      <c r="F76" s="25"/>
      <c r="H76" s="27"/>
      <c r="J76" s="27"/>
      <c r="L76" s="17"/>
    </row>
    <row r="77" spans="1:12" ht="12.75" hidden="1" customHeight="1">
      <c r="A77" s="25"/>
      <c r="B77" s="25"/>
      <c r="C77" s="25"/>
      <c r="D77" s="25"/>
      <c r="E77" s="25"/>
      <c r="F77" s="25"/>
      <c r="H77" s="27"/>
      <c r="J77" s="27"/>
      <c r="L77" s="17"/>
    </row>
    <row r="78" spans="1:12" ht="12.75" hidden="1" customHeight="1">
      <c r="A78" s="25"/>
      <c r="B78" s="25"/>
      <c r="C78" s="25"/>
      <c r="D78" s="25"/>
      <c r="E78" s="25"/>
      <c r="F78" s="25"/>
      <c r="H78" s="27"/>
      <c r="J78" s="27"/>
      <c r="L78" s="17"/>
    </row>
    <row r="79" spans="1:12" ht="12.75" hidden="1" customHeight="1">
      <c r="A79" s="25"/>
      <c r="B79" s="25"/>
      <c r="C79" s="25"/>
      <c r="D79" s="25"/>
      <c r="E79" s="25"/>
      <c r="F79" s="25"/>
      <c r="H79" s="27"/>
      <c r="J79" s="27"/>
      <c r="L79" s="17"/>
    </row>
    <row r="80" spans="1:12" ht="12.75" hidden="1" customHeight="1">
      <c r="A80" s="25"/>
      <c r="B80" s="25"/>
      <c r="C80" s="25"/>
      <c r="D80" s="25"/>
      <c r="E80" s="25"/>
      <c r="F80" s="25"/>
      <c r="H80" s="27"/>
      <c r="J80" s="27"/>
      <c r="L80" s="17"/>
    </row>
    <row r="81" spans="1:12" ht="12.75" hidden="1" customHeight="1">
      <c r="A81" s="25"/>
      <c r="B81" s="25"/>
      <c r="C81" s="25"/>
      <c r="D81" s="25"/>
      <c r="E81" s="25"/>
      <c r="F81" s="25"/>
      <c r="H81" s="27"/>
      <c r="J81" s="27"/>
      <c r="L81" s="17"/>
    </row>
    <row r="82" spans="1:12" ht="12.75" hidden="1" customHeight="1">
      <c r="A82" s="25"/>
      <c r="B82" s="25"/>
      <c r="C82" s="25"/>
      <c r="D82" s="25"/>
      <c r="E82" s="25"/>
      <c r="F82" s="25"/>
      <c r="H82" s="27"/>
      <c r="J82" s="27"/>
      <c r="L82" s="17"/>
    </row>
    <row r="83" spans="1:12" ht="12.75" hidden="1" customHeight="1">
      <c r="A83" s="25"/>
      <c r="B83" s="25"/>
      <c r="C83" s="25"/>
      <c r="D83" s="25"/>
      <c r="E83" s="25"/>
      <c r="F83" s="25"/>
      <c r="H83" s="27"/>
      <c r="J83" s="27"/>
      <c r="L83" s="17"/>
    </row>
    <row r="84" spans="1:12" ht="12.75" hidden="1" customHeight="1">
      <c r="A84" s="25"/>
      <c r="B84" s="25"/>
      <c r="C84" s="25"/>
      <c r="D84" s="25"/>
      <c r="E84" s="25"/>
      <c r="F84" s="25"/>
      <c r="H84" s="27"/>
      <c r="J84" s="27"/>
      <c r="L84" s="17"/>
    </row>
    <row r="85" spans="1:12" ht="12.75" hidden="1" customHeight="1">
      <c r="A85" s="25"/>
      <c r="B85" s="30"/>
      <c r="C85" s="30"/>
      <c r="D85" s="30"/>
      <c r="E85" s="30"/>
      <c r="F85" s="25"/>
      <c r="H85" s="27"/>
      <c r="J85" s="27"/>
      <c r="L85" s="17"/>
    </row>
    <row r="86" spans="1:12" ht="12.75" hidden="1" customHeight="1">
      <c r="A86" s="25"/>
      <c r="B86" s="25"/>
      <c r="C86" s="25"/>
      <c r="D86" s="25"/>
      <c r="E86" s="25"/>
      <c r="F86" s="25"/>
      <c r="H86" s="27"/>
      <c r="J86" s="27"/>
      <c r="L86" s="17"/>
    </row>
    <row r="87" spans="1:12" ht="12.75" hidden="1" customHeight="1">
      <c r="A87" s="25"/>
      <c r="B87" s="25"/>
      <c r="C87" s="25"/>
      <c r="D87" s="25"/>
      <c r="E87" s="25"/>
      <c r="F87" s="25"/>
      <c r="H87" s="27"/>
      <c r="J87" s="27"/>
      <c r="L87" s="17"/>
    </row>
    <row r="88" spans="1:12" ht="12.75" hidden="1" customHeight="1">
      <c r="A88" s="25"/>
      <c r="B88" s="25"/>
      <c r="C88" s="25"/>
      <c r="D88" s="25"/>
      <c r="E88" s="25"/>
      <c r="F88" s="25"/>
      <c r="H88" s="27"/>
      <c r="J88" s="27"/>
      <c r="L88" s="17"/>
    </row>
    <row r="89" spans="1:12" ht="12.75" hidden="1" customHeight="1">
      <c r="A89" s="25"/>
      <c r="B89" s="25"/>
      <c r="C89" s="25"/>
      <c r="D89" s="25"/>
      <c r="E89" s="25"/>
      <c r="F89" s="25"/>
      <c r="H89" s="27"/>
      <c r="J89" s="27"/>
      <c r="L89" s="17"/>
    </row>
    <row r="90" spans="1:12" ht="12.75" hidden="1" customHeight="1">
      <c r="A90" s="25"/>
      <c r="B90" s="25"/>
      <c r="C90" s="25"/>
      <c r="D90" s="25"/>
      <c r="E90" s="25"/>
      <c r="F90" s="25"/>
      <c r="H90" s="27"/>
      <c r="J90" s="27"/>
      <c r="L90" s="17"/>
    </row>
    <row r="91" spans="1:12" ht="12.75" hidden="1" customHeight="1">
      <c r="A91" s="25"/>
      <c r="B91" s="25"/>
      <c r="C91" s="25"/>
      <c r="D91" s="25"/>
      <c r="E91" s="25"/>
      <c r="F91" s="25"/>
      <c r="H91" s="27"/>
      <c r="J91" s="27"/>
      <c r="L91" s="17"/>
    </row>
    <row r="92" spans="1:12" ht="12.75" hidden="1" customHeight="1">
      <c r="A92" s="25"/>
      <c r="B92" s="25"/>
      <c r="C92" s="25"/>
      <c r="D92" s="25"/>
      <c r="E92" s="25"/>
      <c r="F92" s="25"/>
      <c r="H92" s="27"/>
      <c r="J92" s="27"/>
      <c r="L92" s="17"/>
    </row>
    <row r="93" spans="1:12" ht="12.75" hidden="1" customHeight="1">
      <c r="A93" s="25"/>
      <c r="B93" s="25"/>
      <c r="C93" s="25"/>
      <c r="D93" s="25"/>
      <c r="E93" s="25"/>
      <c r="F93" s="25"/>
      <c r="H93" s="27"/>
      <c r="J93" s="27"/>
      <c r="L93" s="17"/>
    </row>
    <row r="94" spans="1:12" ht="12.75" hidden="1" customHeight="1">
      <c r="A94" s="25"/>
      <c r="B94" s="25"/>
      <c r="C94" s="25"/>
      <c r="D94" s="25"/>
      <c r="E94" s="25"/>
      <c r="F94" s="25"/>
      <c r="H94" s="27"/>
      <c r="J94" s="27"/>
      <c r="L94" s="17"/>
    </row>
    <row r="95" spans="1:12" ht="12.75" hidden="1" customHeight="1">
      <c r="A95" s="25"/>
      <c r="B95" s="25"/>
      <c r="C95" s="25"/>
      <c r="D95" s="25"/>
      <c r="E95" s="25"/>
      <c r="F95" s="25"/>
      <c r="H95" s="27"/>
      <c r="J95" s="27"/>
      <c r="L95" s="17"/>
    </row>
    <row r="96" spans="1:12" ht="12.75" hidden="1" customHeight="1">
      <c r="A96" s="25"/>
      <c r="B96" s="25"/>
      <c r="C96" s="25"/>
      <c r="D96" s="25"/>
      <c r="E96" s="25"/>
      <c r="F96" s="25"/>
      <c r="H96" s="27"/>
      <c r="J96" s="27"/>
      <c r="L96" s="17"/>
    </row>
    <row r="97" spans="1:12" ht="12.75" hidden="1" customHeight="1">
      <c r="A97" s="25"/>
      <c r="B97" s="25"/>
      <c r="C97" s="25"/>
      <c r="D97" s="25"/>
      <c r="E97" s="25"/>
      <c r="F97" s="25"/>
      <c r="H97" s="27"/>
      <c r="J97" s="27"/>
      <c r="L97" s="17"/>
    </row>
    <row r="98" spans="1:12" ht="12.75" hidden="1" customHeight="1">
      <c r="A98" s="25"/>
      <c r="B98" s="25"/>
      <c r="C98" s="25"/>
      <c r="D98" s="25"/>
      <c r="E98" s="25"/>
      <c r="F98" s="25"/>
      <c r="H98" s="27"/>
      <c r="J98" s="27"/>
      <c r="L98" s="17"/>
    </row>
    <row r="99" spans="1:12" ht="12.75" hidden="1" customHeight="1">
      <c r="A99" s="25"/>
      <c r="B99" s="30"/>
      <c r="C99" s="30"/>
      <c r="D99" s="30"/>
      <c r="E99" s="30"/>
      <c r="F99" s="25"/>
      <c r="H99" s="27"/>
      <c r="J99" s="27"/>
      <c r="L99" s="17"/>
    </row>
    <row r="100" spans="1:12" ht="12.75" hidden="1" customHeight="1">
      <c r="A100" s="25"/>
      <c r="B100" s="25"/>
      <c r="C100" s="25"/>
      <c r="D100" s="25"/>
      <c r="E100" s="25"/>
      <c r="F100" s="25"/>
      <c r="H100" s="27"/>
      <c r="J100" s="27"/>
      <c r="L100" s="17"/>
    </row>
    <row r="101" spans="1:12" ht="12.75" hidden="1" customHeight="1">
      <c r="A101" s="25"/>
      <c r="B101" s="25"/>
      <c r="C101" s="25"/>
      <c r="D101" s="25"/>
      <c r="E101" s="25"/>
      <c r="F101" s="25"/>
      <c r="H101" s="27"/>
      <c r="J101" s="27"/>
      <c r="L101" s="17"/>
    </row>
    <row r="102" spans="1:12" ht="12.75" hidden="1" customHeight="1">
      <c r="A102" s="25"/>
      <c r="B102" s="25"/>
      <c r="C102" s="25"/>
      <c r="D102" s="25"/>
      <c r="E102" s="25"/>
      <c r="F102" s="25"/>
      <c r="H102" s="27"/>
      <c r="J102" s="27"/>
      <c r="L102" s="17"/>
    </row>
    <row r="103" spans="1:12" ht="12.75" hidden="1" customHeight="1">
      <c r="A103" s="25"/>
      <c r="B103" s="25"/>
      <c r="C103" s="25"/>
      <c r="D103" s="25"/>
      <c r="E103" s="25"/>
      <c r="F103" s="25"/>
      <c r="H103" s="27"/>
      <c r="J103" s="27"/>
      <c r="L103" s="17"/>
    </row>
    <row r="104" spans="1:12" ht="12.75" hidden="1" customHeight="1">
      <c r="A104" s="25"/>
      <c r="B104" s="25"/>
      <c r="C104" s="25"/>
      <c r="D104" s="25"/>
      <c r="E104" s="25"/>
      <c r="F104" s="25"/>
      <c r="H104" s="27"/>
      <c r="J104" s="27"/>
      <c r="L104" s="17"/>
    </row>
    <row r="105" spans="1:12" ht="12.75" hidden="1" customHeight="1">
      <c r="A105" s="25"/>
      <c r="B105" s="25"/>
      <c r="C105" s="25"/>
      <c r="D105" s="25"/>
      <c r="E105" s="25"/>
      <c r="F105" s="25"/>
      <c r="H105" s="27"/>
      <c r="J105" s="27"/>
      <c r="L105" s="17"/>
    </row>
    <row r="106" spans="1:12" ht="12.75" hidden="1" customHeight="1">
      <c r="A106" s="25"/>
      <c r="B106" s="25"/>
      <c r="C106" s="25"/>
      <c r="D106" s="25"/>
      <c r="E106" s="25"/>
      <c r="F106" s="25"/>
      <c r="H106" s="27"/>
      <c r="J106" s="27"/>
      <c r="L106" s="17"/>
    </row>
    <row r="107" spans="1:12" ht="12.75" hidden="1" customHeight="1">
      <c r="A107" s="25"/>
      <c r="B107" s="25"/>
      <c r="C107" s="25"/>
      <c r="D107" s="25"/>
      <c r="E107" s="25"/>
      <c r="F107" s="25"/>
      <c r="H107" s="27"/>
      <c r="J107" s="27"/>
      <c r="L107" s="17"/>
    </row>
    <row r="108" spans="1:12" ht="12.75" hidden="1" customHeight="1">
      <c r="A108" s="25"/>
      <c r="B108" s="25"/>
      <c r="C108" s="25"/>
      <c r="D108" s="25"/>
      <c r="E108" s="25"/>
      <c r="F108" s="25"/>
      <c r="H108" s="27"/>
      <c r="J108" s="27"/>
      <c r="L108" s="17"/>
    </row>
    <row r="109" spans="1:12" ht="12.75" hidden="1" customHeight="1">
      <c r="A109" s="25"/>
      <c r="B109" s="25"/>
      <c r="C109" s="25"/>
      <c r="D109" s="25"/>
      <c r="E109" s="25"/>
      <c r="F109" s="25"/>
      <c r="H109" s="27"/>
      <c r="J109" s="27"/>
      <c r="L109" s="17"/>
    </row>
    <row r="110" spans="1:12" ht="12.75" hidden="1" customHeight="1">
      <c r="A110" s="25"/>
      <c r="B110" s="25"/>
      <c r="C110" s="25"/>
      <c r="D110" s="25"/>
      <c r="E110" s="25"/>
      <c r="F110" s="25"/>
      <c r="H110" s="27"/>
      <c r="J110" s="27"/>
      <c r="L110" s="17"/>
    </row>
    <row r="111" spans="1:12" ht="12.75" hidden="1" customHeight="1">
      <c r="A111" s="25"/>
      <c r="B111" s="25"/>
      <c r="C111" s="25"/>
      <c r="D111" s="25"/>
      <c r="E111" s="25"/>
      <c r="F111" s="25"/>
      <c r="H111" s="27"/>
      <c r="J111" s="27"/>
      <c r="L111" s="17"/>
    </row>
    <row r="112" spans="1:12" ht="12.75" hidden="1" customHeight="1">
      <c r="A112" s="25"/>
      <c r="B112" s="25"/>
      <c r="C112" s="25"/>
      <c r="D112" s="25"/>
      <c r="E112" s="25"/>
      <c r="F112" s="25"/>
      <c r="H112" s="27"/>
      <c r="J112" s="27"/>
      <c r="L112" s="17"/>
    </row>
    <row r="113" spans="1:12" ht="12.75" hidden="1" customHeight="1">
      <c r="A113" s="25"/>
      <c r="B113" s="25"/>
      <c r="C113" s="25"/>
      <c r="D113" s="25"/>
      <c r="E113" s="25"/>
      <c r="F113" s="25"/>
      <c r="H113" s="27"/>
      <c r="J113" s="27"/>
      <c r="L113" s="17"/>
    </row>
    <row r="114" spans="1:12" ht="12.75" hidden="1" customHeight="1">
      <c r="A114" s="25"/>
      <c r="B114" s="25"/>
      <c r="C114" s="25"/>
      <c r="D114" s="25"/>
      <c r="E114" s="25"/>
      <c r="F114" s="25"/>
      <c r="H114" s="27"/>
      <c r="J114" s="27"/>
      <c r="L114" s="17"/>
    </row>
    <row r="115" spans="1:12" ht="12.75" hidden="1" customHeight="1">
      <c r="A115" s="25"/>
      <c r="B115" s="25"/>
      <c r="C115" s="25"/>
      <c r="D115" s="25"/>
      <c r="E115" s="25"/>
      <c r="F115" s="25"/>
      <c r="H115" s="27"/>
      <c r="J115" s="27"/>
      <c r="L115" s="17"/>
    </row>
    <row r="116" spans="1:12" ht="12.75" hidden="1" customHeight="1">
      <c r="A116" s="25"/>
      <c r="B116" s="25"/>
      <c r="C116" s="25"/>
      <c r="D116" s="25"/>
      <c r="E116" s="25"/>
      <c r="F116" s="25"/>
      <c r="H116" s="27"/>
      <c r="J116" s="27"/>
      <c r="L116" s="17"/>
    </row>
    <row r="117" spans="1:12" ht="12.75" hidden="1" customHeight="1">
      <c r="A117" s="25"/>
      <c r="B117" s="25"/>
      <c r="C117" s="25"/>
      <c r="D117" s="25"/>
      <c r="E117" s="25"/>
      <c r="F117" s="25"/>
      <c r="H117" s="27"/>
      <c r="J117" s="27"/>
      <c r="L117" s="17"/>
    </row>
    <row r="118" spans="1:12" ht="12.75" hidden="1" customHeight="1">
      <c r="A118" s="25"/>
      <c r="B118" s="25"/>
      <c r="C118" s="25"/>
      <c r="D118" s="25"/>
      <c r="E118" s="25"/>
      <c r="F118" s="25"/>
      <c r="H118" s="27"/>
      <c r="J118" s="27"/>
      <c r="L118" s="17"/>
    </row>
    <row r="119" spans="1:12" ht="12.75" hidden="1" customHeight="1">
      <c r="A119" s="25"/>
      <c r="B119" s="25"/>
      <c r="C119" s="25"/>
      <c r="D119" s="25"/>
      <c r="E119" s="25"/>
      <c r="F119" s="25"/>
      <c r="H119" s="27"/>
      <c r="J119" s="27"/>
      <c r="L119" s="17"/>
    </row>
    <row r="120" spans="1:12" ht="12.75" hidden="1" customHeight="1">
      <c r="A120" s="25"/>
      <c r="B120" s="30"/>
      <c r="C120" s="30"/>
      <c r="D120" s="30"/>
      <c r="E120" s="30"/>
      <c r="F120" s="25"/>
      <c r="H120" s="27"/>
      <c r="J120" s="27"/>
      <c r="L120" s="17"/>
    </row>
    <row r="121" spans="1:12" ht="12.75" hidden="1" customHeight="1">
      <c r="A121" s="25"/>
      <c r="B121" s="30"/>
      <c r="C121" s="30"/>
      <c r="D121" s="30"/>
      <c r="E121" s="30"/>
      <c r="F121" s="25"/>
      <c r="H121" s="27"/>
      <c r="J121" s="27"/>
      <c r="L121" s="17"/>
    </row>
    <row r="122" spans="1:12" ht="12.75" hidden="1" customHeight="1">
      <c r="A122" s="25"/>
      <c r="B122" s="25"/>
      <c r="C122" s="25"/>
      <c r="D122" s="25"/>
      <c r="E122" s="25"/>
      <c r="F122" s="25"/>
      <c r="H122" s="27"/>
      <c r="J122" s="27"/>
      <c r="L122" s="17"/>
    </row>
    <row r="123" spans="1:12" ht="12.75" hidden="1" customHeight="1">
      <c r="A123" s="25"/>
      <c r="B123" s="25"/>
      <c r="C123" s="25"/>
      <c r="D123" s="25"/>
      <c r="E123" s="25"/>
      <c r="F123" s="25"/>
      <c r="H123" s="27"/>
      <c r="J123" s="27"/>
      <c r="L123" s="17"/>
    </row>
    <row r="124" spans="1:12" ht="12.75" hidden="1" customHeight="1">
      <c r="A124" s="25"/>
      <c r="B124" s="29"/>
      <c r="C124" s="29"/>
      <c r="D124" s="29"/>
      <c r="E124" s="29"/>
      <c r="F124" s="25"/>
      <c r="H124" s="27"/>
      <c r="J124" s="27"/>
      <c r="L124" s="17"/>
    </row>
    <row r="125" spans="1:12" ht="12.75" hidden="1" customHeight="1">
      <c r="A125" s="25"/>
      <c r="B125" s="29"/>
      <c r="C125" s="29"/>
      <c r="D125" s="29"/>
      <c r="E125" s="29"/>
      <c r="F125" s="25"/>
      <c r="H125" s="27"/>
      <c r="J125" s="27"/>
      <c r="L125" s="17"/>
    </row>
    <row r="126" spans="1:12" ht="12.75" hidden="1" customHeight="1">
      <c r="A126" s="25"/>
      <c r="B126" s="25"/>
      <c r="C126" s="25"/>
      <c r="D126" s="25"/>
      <c r="E126" s="25"/>
      <c r="F126" s="25"/>
      <c r="H126" s="27"/>
      <c r="J126" s="27"/>
      <c r="L126" s="17"/>
    </row>
    <row r="127" spans="1:12" ht="12.75" hidden="1" customHeight="1">
      <c r="A127" s="25"/>
      <c r="B127" s="25"/>
      <c r="C127" s="25"/>
      <c r="D127" s="25"/>
      <c r="E127" s="25"/>
      <c r="F127" s="25"/>
      <c r="H127" s="27"/>
      <c r="J127" s="27"/>
    </row>
    <row r="128" spans="1:12" ht="12.75" hidden="1" customHeight="1">
      <c r="A128" s="25"/>
      <c r="B128" s="25"/>
      <c r="C128" s="25"/>
      <c r="D128" s="25"/>
      <c r="E128" s="25"/>
      <c r="F128" s="25"/>
      <c r="H128" s="28"/>
      <c r="J128" s="28"/>
    </row>
    <row r="129" spans="1:10" ht="12.75" hidden="1" customHeight="1">
      <c r="A129" s="25"/>
      <c r="B129" s="25"/>
      <c r="C129" s="25"/>
      <c r="D129" s="25"/>
      <c r="E129" s="25"/>
      <c r="F129" s="25"/>
      <c r="H129" s="25"/>
      <c r="J129" s="25"/>
    </row>
    <row r="130" spans="1:10" ht="12.75" hidden="1" customHeight="1">
      <c r="A130" s="25"/>
      <c r="B130" s="25"/>
      <c r="C130" s="25"/>
      <c r="D130" s="25"/>
      <c r="E130" s="25"/>
      <c r="F130" s="25"/>
      <c r="H130" s="25"/>
      <c r="J130" s="25"/>
    </row>
    <row r="131" spans="1:10" ht="12.75" hidden="1" customHeight="1">
      <c r="A131" s="25"/>
      <c r="B131" s="25"/>
      <c r="C131" s="25"/>
      <c r="D131" s="25"/>
      <c r="E131" s="25"/>
      <c r="F131" s="25"/>
      <c r="H131" s="25"/>
      <c r="J131" s="25"/>
    </row>
    <row r="132" spans="1:10" ht="12.75" hidden="1" customHeight="1">
      <c r="A132" s="25"/>
      <c r="B132" s="25"/>
      <c r="C132" s="25"/>
      <c r="D132" s="25"/>
      <c r="E132" s="25"/>
      <c r="F132" s="25"/>
      <c r="H132" s="25"/>
      <c r="J132" s="25"/>
    </row>
    <row r="133" spans="1:10" ht="12.75" hidden="1" customHeight="1">
      <c r="A133" s="25"/>
      <c r="B133" s="25"/>
      <c r="C133" s="25"/>
      <c r="D133" s="25"/>
      <c r="E133" s="25"/>
      <c r="F133" s="25"/>
      <c r="H133" s="25"/>
      <c r="J133" s="25"/>
    </row>
    <row r="134" spans="1:10" ht="12.75" hidden="1" customHeight="1">
      <c r="A134" s="25"/>
      <c r="B134" s="25"/>
      <c r="C134" s="25"/>
      <c r="D134" s="25"/>
      <c r="E134" s="25"/>
      <c r="F134" s="25"/>
      <c r="H134" s="25"/>
      <c r="J134" s="25"/>
    </row>
    <row r="135" spans="1:10" ht="12.75" hidden="1" customHeight="1">
      <c r="A135" s="25"/>
      <c r="B135" s="25"/>
      <c r="C135" s="25"/>
      <c r="D135" s="25"/>
      <c r="E135" s="25"/>
      <c r="F135" s="25"/>
      <c r="H135" s="25"/>
      <c r="J135" s="25"/>
    </row>
    <row r="136" spans="1:10" ht="12.75" hidden="1" customHeight="1">
      <c r="A136" s="25"/>
      <c r="B136" s="25"/>
      <c r="C136" s="25"/>
      <c r="D136" s="25"/>
      <c r="E136" s="25"/>
      <c r="F136" s="25"/>
      <c r="H136" s="25"/>
      <c r="J136" s="25"/>
    </row>
    <row r="137" spans="1:10" ht="12.75" hidden="1" customHeight="1">
      <c r="A137" s="25"/>
      <c r="B137" s="25"/>
      <c r="C137" s="25"/>
      <c r="D137" s="25"/>
      <c r="E137" s="25"/>
      <c r="F137" s="25"/>
      <c r="H137" s="25"/>
      <c r="J137" s="25"/>
    </row>
    <row r="138" spans="1:10" ht="12.75" hidden="1" customHeight="1">
      <c r="A138" s="25"/>
      <c r="B138" s="25"/>
      <c r="C138" s="25"/>
      <c r="D138" s="25"/>
      <c r="E138" s="25"/>
      <c r="F138" s="25"/>
      <c r="H138" s="25"/>
      <c r="J138" s="25"/>
    </row>
    <row r="139" spans="1:10" ht="12.75" hidden="1" customHeight="1">
      <c r="A139" s="25"/>
      <c r="B139" s="25"/>
      <c r="C139" s="25"/>
      <c r="D139" s="25"/>
      <c r="E139" s="25"/>
      <c r="F139" s="25"/>
      <c r="H139" s="25"/>
      <c r="J139" s="25"/>
    </row>
    <row r="140" spans="1:10" ht="12.75" hidden="1" customHeight="1">
      <c r="A140" s="25"/>
      <c r="B140" s="25"/>
      <c r="C140" s="25"/>
      <c r="D140" s="25"/>
      <c r="E140" s="25"/>
      <c r="F140" s="25"/>
      <c r="H140" s="25"/>
      <c r="J140" s="25"/>
    </row>
    <row r="141" spans="1:10" ht="12.75" hidden="1" customHeight="1">
      <c r="A141" s="25"/>
      <c r="B141" s="25"/>
      <c r="C141" s="25"/>
      <c r="D141" s="25"/>
      <c r="E141" s="25"/>
      <c r="F141" s="25"/>
      <c r="H141" s="25"/>
      <c r="J141" s="25"/>
    </row>
    <row r="142" spans="1:10" ht="12.75" hidden="1" customHeight="1">
      <c r="A142" s="25"/>
      <c r="B142" s="25"/>
      <c r="C142" s="25"/>
      <c r="D142" s="25"/>
      <c r="E142" s="25"/>
      <c r="F142" s="25"/>
      <c r="H142" s="25"/>
      <c r="J142" s="25"/>
    </row>
    <row r="143" spans="1:10" ht="12.75" hidden="1" customHeight="1">
      <c r="A143" s="25"/>
      <c r="B143" s="25"/>
      <c r="C143" s="25"/>
      <c r="D143" s="25"/>
      <c r="E143" s="25"/>
      <c r="F143" s="25"/>
      <c r="H143" s="25"/>
      <c r="J143" s="25"/>
    </row>
    <row r="144" spans="1:10" ht="12.75" hidden="1" customHeight="1">
      <c r="A144" s="25"/>
      <c r="B144" s="25"/>
      <c r="C144" s="25"/>
      <c r="D144" s="25"/>
      <c r="E144" s="25"/>
      <c r="F144" s="25"/>
      <c r="H144" s="25"/>
      <c r="J144" s="25"/>
    </row>
    <row r="145" spans="1:10" ht="12.75" hidden="1" customHeight="1">
      <c r="A145" s="25"/>
      <c r="B145" s="25"/>
      <c r="C145" s="25"/>
      <c r="D145" s="25"/>
      <c r="E145" s="25"/>
      <c r="F145" s="25"/>
      <c r="H145" s="25"/>
      <c r="J145" s="25"/>
    </row>
    <row r="146" spans="1:10" ht="12.75" hidden="1" customHeight="1">
      <c r="A146" s="25"/>
      <c r="B146" s="25"/>
      <c r="C146" s="25"/>
      <c r="D146" s="25"/>
      <c r="E146" s="25"/>
      <c r="F146" s="25"/>
      <c r="H146" s="25"/>
      <c r="J146" s="25"/>
    </row>
    <row r="147" spans="1:10" ht="12.75" hidden="1" customHeight="1">
      <c r="A147" s="25"/>
      <c r="B147" s="25"/>
      <c r="C147" s="25"/>
      <c r="D147" s="25"/>
      <c r="E147" s="25"/>
      <c r="F147" s="25"/>
      <c r="H147" s="25"/>
      <c r="J147" s="25"/>
    </row>
    <row r="148" spans="1:10" ht="12.75" hidden="1" customHeight="1">
      <c r="A148" s="25"/>
      <c r="B148" s="25"/>
      <c r="C148" s="25"/>
      <c r="D148" s="25"/>
      <c r="E148" s="25"/>
      <c r="F148" s="25"/>
      <c r="H148" s="25"/>
      <c r="J148" s="25"/>
    </row>
    <row r="149" spans="1:10" ht="12.75" hidden="1" customHeight="1">
      <c r="A149" s="25"/>
      <c r="B149" s="25"/>
      <c r="C149" s="25"/>
      <c r="D149" s="25"/>
      <c r="E149" s="25"/>
      <c r="F149" s="25"/>
      <c r="H149" s="25"/>
      <c r="J149" s="25"/>
    </row>
    <row r="150" spans="1:10" ht="12.75" hidden="1" customHeight="1">
      <c r="A150" s="25"/>
      <c r="B150" s="25"/>
      <c r="C150" s="25"/>
      <c r="D150" s="25"/>
      <c r="E150" s="25"/>
      <c r="F150" s="25"/>
      <c r="H150" s="25"/>
      <c r="J150" s="25"/>
    </row>
    <row r="151" spans="1:10" ht="12.75" hidden="1" customHeight="1">
      <c r="A151" s="25"/>
      <c r="B151" s="25"/>
      <c r="C151" s="25"/>
      <c r="D151" s="25"/>
      <c r="E151" s="25"/>
      <c r="F151" s="25"/>
      <c r="H151" s="25"/>
      <c r="J151" s="25"/>
    </row>
    <row r="152" spans="1:10" ht="12.75" hidden="1" customHeight="1">
      <c r="A152" s="25"/>
      <c r="B152" s="25"/>
      <c r="C152" s="25"/>
      <c r="D152" s="25"/>
      <c r="E152" s="25"/>
      <c r="F152" s="25"/>
      <c r="H152" s="25"/>
      <c r="J152" s="25"/>
    </row>
    <row r="153" spans="1:10" ht="12.75" hidden="1" customHeight="1">
      <c r="A153" s="25"/>
      <c r="B153" s="25"/>
      <c r="C153" s="25"/>
      <c r="D153" s="25"/>
      <c r="E153" s="25"/>
      <c r="F153" s="25"/>
      <c r="H153" s="25"/>
      <c r="J153" s="25"/>
    </row>
    <row r="154" spans="1:10" ht="12.75" hidden="1" customHeight="1">
      <c r="A154" s="25"/>
      <c r="B154" s="25"/>
      <c r="C154" s="25"/>
      <c r="D154" s="25"/>
      <c r="E154" s="25"/>
      <c r="F154" s="25"/>
      <c r="H154" s="25"/>
      <c r="J154" s="25"/>
    </row>
    <row r="155" spans="1:10" ht="12.75" hidden="1" customHeight="1">
      <c r="A155" s="25"/>
      <c r="B155" s="25"/>
      <c r="C155" s="25"/>
      <c r="D155" s="25"/>
      <c r="E155" s="25"/>
      <c r="F155" s="25"/>
      <c r="H155" s="25"/>
      <c r="J155" s="25"/>
    </row>
    <row r="156" spans="1:10" ht="12.75" hidden="1" customHeight="1">
      <c r="A156" s="25"/>
      <c r="B156" s="25"/>
      <c r="C156" s="25"/>
      <c r="D156" s="25"/>
      <c r="E156" s="25"/>
      <c r="F156" s="25"/>
      <c r="H156" s="25"/>
      <c r="J156" s="25"/>
    </row>
    <row r="157" spans="1:10" ht="12.75" hidden="1" customHeight="1">
      <c r="A157" s="25"/>
      <c r="B157" s="25"/>
      <c r="C157" s="25"/>
      <c r="D157" s="25"/>
      <c r="E157" s="25"/>
      <c r="F157" s="25"/>
      <c r="H157" s="25"/>
      <c r="J157" s="25"/>
    </row>
    <row r="158" spans="1:10" ht="12.75" hidden="1" customHeight="1">
      <c r="A158" s="25"/>
      <c r="B158" s="25"/>
      <c r="C158" s="25"/>
      <c r="D158" s="25"/>
      <c r="E158" s="25"/>
      <c r="F158" s="25"/>
      <c r="H158" s="25"/>
      <c r="J158" s="25"/>
    </row>
    <row r="159" spans="1:10" ht="12.75" hidden="1" customHeight="1">
      <c r="A159" s="25"/>
      <c r="B159" s="25"/>
      <c r="C159" s="25"/>
      <c r="D159" s="25"/>
      <c r="E159" s="25"/>
      <c r="F159" s="25"/>
      <c r="H159" s="25"/>
      <c r="J159" s="25"/>
    </row>
    <row r="160" spans="1:10" ht="12.75" hidden="1" customHeight="1">
      <c r="A160" s="25"/>
      <c r="B160" s="25"/>
      <c r="C160" s="25"/>
      <c r="D160" s="25"/>
      <c r="E160" s="25"/>
      <c r="F160" s="25"/>
      <c r="H160" s="25"/>
      <c r="J160" s="25"/>
    </row>
    <row r="161" spans="1:10" ht="12.75" hidden="1" customHeight="1">
      <c r="A161" s="25"/>
      <c r="B161" s="25"/>
      <c r="C161" s="25"/>
      <c r="D161" s="25"/>
      <c r="E161" s="25"/>
      <c r="F161" s="25"/>
      <c r="H161" s="25"/>
      <c r="J161" s="25"/>
    </row>
    <row r="162" spans="1:10" ht="12.75" hidden="1" customHeight="1">
      <c r="A162" s="25"/>
      <c r="B162" s="25"/>
      <c r="C162" s="25"/>
      <c r="D162" s="25"/>
      <c r="E162" s="25"/>
      <c r="F162" s="25"/>
      <c r="H162" s="25"/>
      <c r="J162" s="25"/>
    </row>
    <row r="163" spans="1:10" ht="12.75" hidden="1" customHeight="1">
      <c r="A163" s="25"/>
      <c r="B163" s="25"/>
      <c r="C163" s="25"/>
      <c r="D163" s="25"/>
      <c r="E163" s="25"/>
      <c r="F163" s="25"/>
      <c r="H163" s="25"/>
      <c r="J163" s="25"/>
    </row>
    <row r="164" spans="1:10" ht="12.75" hidden="1" customHeight="1">
      <c r="A164" s="25"/>
      <c r="B164" s="25"/>
      <c r="C164" s="25"/>
      <c r="D164" s="25"/>
      <c r="E164" s="25"/>
      <c r="F164" s="25"/>
      <c r="H164" s="25"/>
      <c r="J164" s="25"/>
    </row>
    <row r="165" spans="1:10" ht="12.75" hidden="1" customHeight="1">
      <c r="A165" s="25"/>
      <c r="B165" s="25"/>
      <c r="C165" s="25"/>
      <c r="D165" s="25"/>
      <c r="E165" s="25"/>
      <c r="F165" s="25"/>
      <c r="H165" s="25"/>
      <c r="J165" s="25"/>
    </row>
    <row r="166" spans="1:10" ht="12.75" hidden="1" customHeight="1">
      <c r="A166" s="25"/>
      <c r="B166" s="25"/>
      <c r="C166" s="25"/>
      <c r="D166" s="25"/>
      <c r="E166" s="25"/>
      <c r="F166" s="25"/>
      <c r="H166" s="25"/>
      <c r="J166" s="25"/>
    </row>
    <row r="167" spans="1:10" ht="12.75" hidden="1" customHeight="1">
      <c r="A167" s="25"/>
      <c r="B167" s="25"/>
      <c r="C167" s="25"/>
      <c r="D167" s="25"/>
      <c r="E167" s="25"/>
      <c r="F167" s="25"/>
      <c r="H167" s="25"/>
      <c r="J167" s="25"/>
    </row>
    <row r="168" spans="1:10" ht="12.75" hidden="1" customHeight="1">
      <c r="A168" s="25"/>
      <c r="B168" s="25"/>
      <c r="C168" s="25"/>
      <c r="D168" s="25"/>
      <c r="E168" s="25"/>
      <c r="F168" s="25"/>
      <c r="H168" s="25"/>
      <c r="J168" s="25"/>
    </row>
    <row r="169" spans="1:10" ht="12.75" hidden="1" customHeight="1">
      <c r="A169" s="25"/>
      <c r="B169" s="25"/>
      <c r="C169" s="25"/>
      <c r="D169" s="25"/>
      <c r="E169" s="25"/>
      <c r="F169" s="25"/>
      <c r="H169" s="25"/>
      <c r="J169" s="25"/>
    </row>
    <row r="170" spans="1:10" ht="12.75" hidden="1" customHeight="1">
      <c r="A170" s="25"/>
      <c r="B170" s="25"/>
      <c r="C170" s="25"/>
      <c r="D170" s="25"/>
      <c r="E170" s="25"/>
      <c r="F170" s="25"/>
      <c r="H170" s="25"/>
      <c r="J170" s="25"/>
    </row>
    <row r="171" spans="1:10" ht="12.75" hidden="1" customHeight="1">
      <c r="A171" s="25"/>
      <c r="B171" s="25"/>
      <c r="C171" s="25"/>
      <c r="D171" s="25"/>
      <c r="E171" s="25"/>
      <c r="F171" s="25"/>
      <c r="H171" s="25"/>
      <c r="J171" s="25"/>
    </row>
    <row r="172" spans="1:10" ht="12.75" hidden="1" customHeight="1">
      <c r="A172" s="25"/>
      <c r="B172" s="25"/>
      <c r="C172" s="25"/>
      <c r="D172" s="25"/>
      <c r="E172" s="25"/>
      <c r="F172" s="25"/>
      <c r="H172" s="25"/>
      <c r="J172" s="25"/>
    </row>
    <row r="173" spans="1:10" ht="12.75" hidden="1" customHeight="1">
      <c r="A173" s="25"/>
      <c r="B173" s="25"/>
      <c r="C173" s="25"/>
      <c r="D173" s="25"/>
      <c r="E173" s="25"/>
      <c r="F173" s="25"/>
      <c r="H173" s="25"/>
      <c r="J173" s="25"/>
    </row>
    <row r="174" spans="1:10" ht="12.75" hidden="1" customHeight="1">
      <c r="A174" s="25"/>
      <c r="B174" s="25"/>
      <c r="C174" s="25"/>
      <c r="D174" s="25"/>
      <c r="E174" s="25"/>
      <c r="F174" s="25"/>
      <c r="H174" s="25"/>
      <c r="J174" s="25"/>
    </row>
    <row r="175" spans="1:10" ht="12.75" hidden="1" customHeight="1">
      <c r="A175" s="25"/>
      <c r="B175" s="25"/>
      <c r="C175" s="25"/>
      <c r="D175" s="25"/>
      <c r="E175" s="25"/>
      <c r="F175" s="25"/>
      <c r="H175" s="25"/>
      <c r="J175" s="25"/>
    </row>
    <row r="176" spans="1:10" ht="12.75" hidden="1" customHeight="1">
      <c r="A176" s="25"/>
      <c r="B176" s="25"/>
      <c r="C176" s="25"/>
      <c r="D176" s="25"/>
      <c r="E176" s="25"/>
      <c r="F176" s="25"/>
      <c r="H176" s="25"/>
      <c r="J176" s="25"/>
    </row>
    <row r="177" spans="1:10" ht="12.75" hidden="1" customHeight="1">
      <c r="A177" s="25"/>
      <c r="B177" s="25"/>
      <c r="C177" s="25"/>
      <c r="D177" s="25"/>
      <c r="E177" s="25"/>
      <c r="F177" s="25"/>
      <c r="H177" s="25"/>
      <c r="J177" s="25"/>
    </row>
    <row r="178" spans="1:10" ht="12.75" hidden="1" customHeight="1">
      <c r="A178" s="25"/>
      <c r="B178" s="25"/>
      <c r="C178" s="25"/>
      <c r="D178" s="25"/>
      <c r="E178" s="25"/>
      <c r="F178" s="25"/>
      <c r="H178" s="25"/>
      <c r="J178" s="25"/>
    </row>
    <row r="179" spans="1:10" ht="12.75" hidden="1" customHeight="1">
      <c r="A179" s="25"/>
      <c r="B179" s="25"/>
      <c r="C179" s="25"/>
      <c r="D179" s="25"/>
      <c r="E179" s="25"/>
      <c r="F179" s="25"/>
      <c r="H179" s="25"/>
      <c r="J179" s="25"/>
    </row>
    <row r="180" spans="1:10" ht="12.75" hidden="1" customHeight="1">
      <c r="A180" s="25"/>
      <c r="B180" s="25"/>
      <c r="C180" s="25"/>
      <c r="D180" s="25"/>
      <c r="E180" s="25"/>
      <c r="F180" s="25"/>
      <c r="H180" s="25"/>
      <c r="J180" s="25"/>
    </row>
    <row r="181" spans="1:10" ht="12.75" hidden="1" customHeight="1">
      <c r="A181" s="25"/>
      <c r="B181" s="25"/>
      <c r="C181" s="25"/>
      <c r="D181" s="25"/>
      <c r="E181" s="25"/>
      <c r="F181" s="25"/>
      <c r="H181" s="25"/>
      <c r="J181" s="25"/>
    </row>
    <row r="182" spans="1:10" ht="12.75" hidden="1" customHeight="1">
      <c r="A182" s="25"/>
      <c r="B182" s="25"/>
      <c r="C182" s="25"/>
      <c r="D182" s="25"/>
      <c r="E182" s="25"/>
      <c r="F182" s="25"/>
      <c r="H182" s="25"/>
      <c r="J182" s="25"/>
    </row>
    <row r="183" spans="1:10" ht="12.75" hidden="1" customHeight="1">
      <c r="A183" s="25"/>
      <c r="B183" s="25"/>
      <c r="C183" s="25"/>
      <c r="D183" s="25"/>
      <c r="E183" s="25"/>
      <c r="F183" s="25"/>
      <c r="H183" s="25"/>
      <c r="J183" s="25"/>
    </row>
    <row r="184" spans="1:10" ht="12.75" hidden="1" customHeight="1">
      <c r="A184" s="25"/>
      <c r="B184" s="25"/>
      <c r="C184" s="25"/>
      <c r="D184" s="25"/>
      <c r="E184" s="25"/>
      <c r="F184" s="25"/>
      <c r="H184" s="25"/>
      <c r="J184" s="25"/>
    </row>
    <row r="185" spans="1:10" ht="12.75" hidden="1" customHeight="1">
      <c r="A185" s="25"/>
      <c r="B185" s="25"/>
      <c r="C185" s="25"/>
      <c r="D185" s="25"/>
      <c r="E185" s="25"/>
      <c r="F185" s="25"/>
      <c r="H185" s="25"/>
      <c r="J185" s="25"/>
    </row>
    <row r="186" spans="1:10" ht="12.75" hidden="1" customHeight="1">
      <c r="A186" s="25"/>
      <c r="B186" s="25"/>
      <c r="C186" s="25"/>
      <c r="D186" s="25"/>
      <c r="E186" s="25"/>
      <c r="F186" s="25"/>
      <c r="H186" s="25"/>
      <c r="J186" s="25"/>
    </row>
    <row r="187" spans="1:10" ht="12.75" hidden="1" customHeight="1">
      <c r="A187" s="25"/>
      <c r="B187" s="25"/>
      <c r="C187" s="25"/>
      <c r="D187" s="25"/>
      <c r="E187" s="25"/>
      <c r="F187" s="25"/>
      <c r="H187" s="25"/>
      <c r="J187" s="25"/>
    </row>
    <row r="188" spans="1:10" ht="12.75" hidden="1" customHeight="1">
      <c r="A188" s="25"/>
      <c r="B188" s="25"/>
      <c r="C188" s="25"/>
      <c r="D188" s="25"/>
      <c r="E188" s="25"/>
      <c r="F188" s="25"/>
      <c r="H188" s="25"/>
      <c r="J188" s="25"/>
    </row>
    <row r="189" spans="1:10" ht="12.75" hidden="1" customHeight="1">
      <c r="A189" s="25"/>
      <c r="B189" s="25"/>
      <c r="C189" s="25"/>
      <c r="D189" s="25"/>
      <c r="E189" s="25"/>
      <c r="F189" s="25"/>
      <c r="H189" s="25"/>
      <c r="J189" s="25"/>
    </row>
    <row r="190" spans="1:10" ht="12.75" hidden="1" customHeight="1">
      <c r="A190" s="25"/>
      <c r="B190" s="25"/>
      <c r="C190" s="25"/>
      <c r="D190" s="25"/>
      <c r="E190" s="25"/>
      <c r="F190" s="25"/>
      <c r="H190" s="25"/>
      <c r="J190" s="25"/>
    </row>
    <row r="191" spans="1:10" ht="12.75" hidden="1" customHeight="1">
      <c r="A191" s="25"/>
      <c r="B191" s="25"/>
      <c r="C191" s="25"/>
      <c r="D191" s="25"/>
      <c r="E191" s="25"/>
      <c r="F191" s="25"/>
      <c r="H191" s="25"/>
      <c r="J191" s="25"/>
    </row>
    <row r="192" spans="1:10" ht="12.75" hidden="1" customHeight="1">
      <c r="A192" s="25"/>
      <c r="B192" s="25"/>
      <c r="C192" s="25"/>
      <c r="D192" s="25"/>
      <c r="E192" s="25"/>
      <c r="F192" s="25"/>
      <c r="H192" s="25"/>
      <c r="J192" s="25"/>
    </row>
    <row r="193" spans="1:10" ht="12.75" hidden="1" customHeight="1">
      <c r="A193" s="25"/>
      <c r="B193" s="25"/>
      <c r="C193" s="25"/>
      <c r="D193" s="25"/>
      <c r="E193" s="25"/>
      <c r="F193" s="25"/>
      <c r="H193" s="25"/>
      <c r="J193" s="25"/>
    </row>
    <row r="194" spans="1:10" ht="12.75" hidden="1" customHeight="1">
      <c r="A194" s="25"/>
      <c r="B194" s="25"/>
      <c r="C194" s="25"/>
      <c r="D194" s="25"/>
      <c r="E194" s="25"/>
      <c r="F194" s="25"/>
      <c r="H194" s="25"/>
      <c r="J194" s="25"/>
    </row>
    <row r="195" spans="1:10" ht="12.75" customHeight="1">
      <c r="B195" s="25"/>
      <c r="C195" s="25"/>
      <c r="D195" s="25"/>
      <c r="E195" s="25"/>
      <c r="F195" s="25"/>
      <c r="H195" s="25"/>
      <c r="J195" s="25"/>
    </row>
    <row r="196" spans="1:10" ht="12.75" customHeight="1">
      <c r="B196" s="25"/>
      <c r="C196" s="25"/>
      <c r="D196" s="25"/>
      <c r="E196" s="25"/>
      <c r="F196" s="25"/>
      <c r="H196" s="25"/>
      <c r="J196" s="25"/>
    </row>
    <row r="197" spans="1:10" ht="12.75" customHeight="1">
      <c r="B197" s="25"/>
      <c r="C197" s="25"/>
      <c r="D197" s="25"/>
      <c r="E197" s="25"/>
      <c r="F197" s="25"/>
      <c r="H197" s="25"/>
      <c r="J197" s="25"/>
    </row>
    <row r="198" spans="1:10" ht="12.75" customHeight="1">
      <c r="H198" s="25"/>
      <c r="J198" s="25"/>
    </row>
    <row r="199" spans="1:10" ht="12.75" customHeight="1">
      <c r="H199" s="25"/>
      <c r="J199" s="25"/>
    </row>
    <row r="206" spans="1:10" ht="12.75" customHeight="1">
      <c r="J206" s="51"/>
    </row>
  </sheetData>
  <sheetProtection algorithmName="SHA-512" hashValue="huxDZelRFj622XWGDzJp027icCHzLOO0KFW6ocbqvMuFpdSzhW4jKSfTFutnrJA/y2Dw0Pagr+xjWObtvZVyGA==" saltValue="skIHbh/bd0TEjmSsfR2N6A==" spinCount="100000" sheet="1" objects="1" scenarios="1"/>
  <autoFilter ref="M1:M194" xr:uid="{00000000-0009-0000-0000-000001000000}">
    <filterColumn colId="0">
      <customFilters>
        <customFilter operator="notEqual" val=" "/>
      </customFilters>
    </filterColumn>
  </autoFilter>
  <phoneticPr fontId="0" type="noConversion"/>
  <printOptions horizontalCentered="1"/>
  <pageMargins left="0" right="0" top="0.5" bottom="0.25" header="0" footer="0"/>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filterMode="1">
    <pageSetUpPr fitToPage="1"/>
  </sheetPr>
  <dimension ref="A1:U167"/>
  <sheetViews>
    <sheetView showOutlineSymbols="0" topLeftCell="B1" zoomScaleNormal="100" workbookViewId="0">
      <selection activeCell="B1" sqref="B1:F1"/>
    </sheetView>
  </sheetViews>
  <sheetFormatPr defaultColWidth="9.109375" defaultRowHeight="12.75" customHeight="1"/>
  <cols>
    <col min="1" max="1" width="5.109375" style="155" hidden="1" customWidth="1"/>
    <col min="2" max="2" width="19.33203125" style="95" customWidth="1"/>
    <col min="3" max="3" width="23.88671875" style="91" customWidth="1"/>
    <col min="4" max="4" width="11.109375" style="91" customWidth="1"/>
    <col min="5" max="5" width="8.109375" style="170" customWidth="1"/>
    <col min="6" max="6" width="11.5546875" style="95" customWidth="1"/>
    <col min="7" max="7" width="9.6640625" style="95" customWidth="1"/>
    <col min="8" max="8" width="2" style="95" hidden="1" customWidth="1"/>
    <col min="9" max="9" width="9.6640625" style="95" customWidth="1"/>
    <col min="10" max="10" width="10" style="95" customWidth="1"/>
    <col min="11" max="11" width="2.5546875" style="95" hidden="1" customWidth="1"/>
    <col min="12" max="13" width="9.6640625" style="95" customWidth="1"/>
    <col min="14" max="14" width="11.5546875" style="95" bestFit="1" customWidth="1"/>
    <col min="15" max="15" width="9.109375" style="95" hidden="1" customWidth="1"/>
    <col min="16" max="16" width="9.6640625" style="155" customWidth="1"/>
    <col min="17" max="21" width="9.109375" style="111" customWidth="1"/>
    <col min="22" max="23" width="9.109375" style="95" customWidth="1"/>
    <col min="24" max="16384" width="9.109375" style="95"/>
  </cols>
  <sheetData>
    <row r="1" spans="1:19" ht="12">
      <c r="B1" s="225" t="str">
        <f>Budget!B1</f>
        <v>CHAUTAUQUA LEARN &amp; SERVE CHARTER SCHOOL</v>
      </c>
      <c r="C1" s="225"/>
      <c r="D1" s="225"/>
      <c r="E1" s="226"/>
      <c r="F1" s="225"/>
      <c r="O1" s="95" t="s">
        <v>64</v>
      </c>
    </row>
    <row r="2" spans="1:19" ht="12">
      <c r="B2" s="225" t="s">
        <v>82</v>
      </c>
      <c r="C2" s="225"/>
      <c r="D2" s="225"/>
      <c r="E2" s="226"/>
      <c r="F2" s="225"/>
      <c r="O2" s="95" t="s">
        <v>64</v>
      </c>
    </row>
    <row r="3" spans="1:19" ht="12" hidden="1">
      <c r="B3" s="87"/>
      <c r="C3" s="87"/>
      <c r="D3" s="87"/>
      <c r="E3" s="87"/>
      <c r="F3" s="87"/>
      <c r="G3" s="219" t="s">
        <v>192</v>
      </c>
      <c r="H3" s="219"/>
      <c r="O3" s="95" t="s">
        <v>56</v>
      </c>
      <c r="P3" s="95"/>
    </row>
    <row r="4" spans="1:19" ht="12.75" hidden="1" customHeight="1">
      <c r="B4" s="87"/>
      <c r="C4" s="87"/>
      <c r="D4" s="87"/>
      <c r="E4" s="87"/>
      <c r="F4" s="87"/>
      <c r="G4" s="219" t="s">
        <v>21</v>
      </c>
      <c r="H4" s="219"/>
      <c r="I4" s="156" t="s">
        <v>23</v>
      </c>
      <c r="J4" s="219" t="s">
        <v>20</v>
      </c>
      <c r="K4" s="219"/>
      <c r="L4" s="156" t="s">
        <v>28</v>
      </c>
      <c r="O4" s="95" t="s">
        <v>56</v>
      </c>
      <c r="P4" s="95"/>
    </row>
    <row r="5" spans="1:19" ht="12.75" hidden="1" customHeight="1">
      <c r="B5" s="87"/>
      <c r="C5" s="87"/>
      <c r="D5" s="87"/>
      <c r="E5" s="87"/>
      <c r="F5" s="88" t="s">
        <v>22</v>
      </c>
      <c r="G5" s="220">
        <v>0.1</v>
      </c>
      <c r="H5" s="220"/>
      <c r="I5" s="157">
        <v>7.6499999999999999E-2</v>
      </c>
      <c r="J5" s="220">
        <v>0.01</v>
      </c>
      <c r="K5" s="220"/>
      <c r="L5" s="158">
        <v>5.0000000000000001E-3</v>
      </c>
      <c r="M5" s="158"/>
      <c r="O5" s="95" t="s">
        <v>56</v>
      </c>
      <c r="P5" s="95"/>
    </row>
    <row r="6" spans="1:19" ht="12.75" hidden="1" customHeight="1">
      <c r="B6" s="87"/>
      <c r="C6" s="87"/>
      <c r="D6" s="87"/>
      <c r="E6" s="87"/>
      <c r="F6" s="88" t="s">
        <v>24</v>
      </c>
      <c r="G6" s="220">
        <f>G5</f>
        <v>0.1</v>
      </c>
      <c r="H6" s="220"/>
      <c r="I6" s="157">
        <v>7.6499999999999999E-2</v>
      </c>
      <c r="J6" s="220">
        <v>0.01</v>
      </c>
      <c r="K6" s="220"/>
      <c r="L6" s="158">
        <v>5.0000000000000001E-3</v>
      </c>
      <c r="M6" s="158"/>
      <c r="O6" s="95" t="s">
        <v>56</v>
      </c>
      <c r="P6" s="95"/>
    </row>
    <row r="7" spans="1:19" ht="12.75" hidden="1" customHeight="1">
      <c r="B7" s="87"/>
      <c r="C7" s="87"/>
      <c r="D7" s="87"/>
      <c r="E7" s="87"/>
      <c r="F7" s="88" t="s">
        <v>58</v>
      </c>
      <c r="G7" s="220">
        <f>G6</f>
        <v>0.1</v>
      </c>
      <c r="H7" s="220"/>
      <c r="I7" s="157">
        <v>7.6499999999999999E-2</v>
      </c>
      <c r="J7" s="220">
        <v>0.04</v>
      </c>
      <c r="K7" s="220"/>
      <c r="L7" s="158">
        <v>5.0000000000000001E-3</v>
      </c>
      <c r="M7" s="158"/>
      <c r="O7" s="95" t="s">
        <v>56</v>
      </c>
      <c r="P7" s="95"/>
    </row>
    <row r="8" spans="1:19" ht="12.75" hidden="1" customHeight="1">
      <c r="B8" s="87"/>
      <c r="C8" s="87"/>
      <c r="D8" s="87"/>
      <c r="E8" s="87"/>
      <c r="F8" s="88" t="s">
        <v>59</v>
      </c>
      <c r="G8" s="220">
        <f>G7</f>
        <v>0.1</v>
      </c>
      <c r="H8" s="220"/>
      <c r="I8" s="157">
        <v>7.6499999999999999E-2</v>
      </c>
      <c r="J8" s="220">
        <f>+J7</f>
        <v>0.04</v>
      </c>
      <c r="K8" s="220"/>
      <c r="L8" s="158">
        <f t="shared" ref="L8:L10" si="0">+L7</f>
        <v>5.0000000000000001E-3</v>
      </c>
      <c r="M8" s="158"/>
      <c r="O8" s="95" t="s">
        <v>56</v>
      </c>
      <c r="P8" s="95"/>
    </row>
    <row r="9" spans="1:19" ht="12.75" hidden="1" customHeight="1">
      <c r="A9" s="156" t="s">
        <v>25</v>
      </c>
      <c r="B9" s="87"/>
      <c r="C9" s="87"/>
      <c r="D9" s="87"/>
      <c r="E9" s="87"/>
      <c r="F9" s="88" t="s">
        <v>60</v>
      </c>
      <c r="G9" s="220">
        <f>G8</f>
        <v>0.1</v>
      </c>
      <c r="H9" s="220"/>
      <c r="I9" s="157">
        <v>7.6499999999999999E-2</v>
      </c>
      <c r="J9" s="220">
        <f>+J7</f>
        <v>0.04</v>
      </c>
      <c r="K9" s="220"/>
      <c r="L9" s="158">
        <f t="shared" si="0"/>
        <v>5.0000000000000001E-3</v>
      </c>
      <c r="M9" s="111"/>
      <c r="O9" s="95" t="s">
        <v>56</v>
      </c>
      <c r="P9" s="95"/>
    </row>
    <row r="10" spans="1:19" ht="12.75" hidden="1" customHeight="1">
      <c r="A10" s="155">
        <v>1</v>
      </c>
      <c r="B10" s="87"/>
      <c r="C10" s="87"/>
      <c r="D10" s="87"/>
      <c r="E10" s="87"/>
      <c r="F10" s="88" t="s">
        <v>61</v>
      </c>
      <c r="G10" s="220">
        <f>G9</f>
        <v>0.1</v>
      </c>
      <c r="H10" s="220"/>
      <c r="I10" s="157">
        <v>7.6499999999999999E-2</v>
      </c>
      <c r="J10" s="220">
        <f>+J5</f>
        <v>0.01</v>
      </c>
      <c r="K10" s="220"/>
      <c r="L10" s="158">
        <f t="shared" si="0"/>
        <v>5.0000000000000001E-3</v>
      </c>
      <c r="M10" s="111"/>
      <c r="O10" s="95" t="s">
        <v>56</v>
      </c>
      <c r="P10" s="95"/>
    </row>
    <row r="11" spans="1:19" ht="14.1" customHeight="1">
      <c r="A11" s="155">
        <v>2</v>
      </c>
      <c r="B11" s="87"/>
      <c r="C11" s="133"/>
      <c r="D11" s="133"/>
      <c r="E11" s="159"/>
      <c r="F11" s="87"/>
      <c r="O11" s="95" t="s">
        <v>64</v>
      </c>
    </row>
    <row r="12" spans="1:19" ht="12.75" hidden="1" customHeight="1">
      <c r="A12" s="155">
        <v>3</v>
      </c>
      <c r="B12" s="87"/>
      <c r="C12" s="87"/>
      <c r="D12" s="87"/>
      <c r="E12" s="87"/>
      <c r="F12" s="87"/>
      <c r="P12" s="95"/>
    </row>
    <row r="13" spans="1:19" ht="24">
      <c r="A13" s="155">
        <v>4</v>
      </c>
      <c r="B13" s="89" t="s">
        <v>26</v>
      </c>
      <c r="C13" s="89" t="s">
        <v>27</v>
      </c>
      <c r="D13" s="251" t="s">
        <v>443</v>
      </c>
      <c r="E13" s="89" t="s">
        <v>201</v>
      </c>
      <c r="F13" s="89" t="s">
        <v>91</v>
      </c>
      <c r="G13" s="221" t="s">
        <v>117</v>
      </c>
      <c r="H13" s="222"/>
      <c r="I13" s="90" t="s">
        <v>118</v>
      </c>
      <c r="J13" s="223" t="s">
        <v>119</v>
      </c>
      <c r="K13" s="224"/>
      <c r="L13" s="90" t="s">
        <v>120</v>
      </c>
      <c r="M13" s="90" t="s">
        <v>121</v>
      </c>
      <c r="N13" s="90" t="s">
        <v>122</v>
      </c>
      <c r="O13" s="95" t="s">
        <v>64</v>
      </c>
      <c r="P13" s="90"/>
      <c r="Q13" s="122" t="s">
        <v>203</v>
      </c>
      <c r="R13" s="122"/>
      <c r="S13" s="122"/>
    </row>
    <row r="14" spans="1:19" ht="12.75" hidden="1" customHeight="1">
      <c r="A14" s="160"/>
      <c r="B14" s="94" t="s">
        <v>15</v>
      </c>
      <c r="D14" s="101"/>
      <c r="E14" s="103"/>
      <c r="F14" s="93"/>
      <c r="G14" s="101">
        <f t="shared" ref="G14:G19" si="1">IF(H14="Y",F14*$G$5," ")</f>
        <v>0</v>
      </c>
      <c r="H14" s="155" t="s">
        <v>144</v>
      </c>
      <c r="I14" s="101">
        <f t="shared" ref="I14:I19" si="2">+$F14*$I$5</f>
        <v>0</v>
      </c>
      <c r="J14" s="101" t="str">
        <f t="shared" ref="J14:J19" si="3">IF(K14="Y",((240.01+2.38)*1.02)*24," ")</f>
        <v xml:space="preserve"> </v>
      </c>
      <c r="K14" s="101" t="s">
        <v>56</v>
      </c>
      <c r="L14" s="101">
        <f t="shared" ref="L14:L19" si="4">+$F14*$J$5</f>
        <v>0</v>
      </c>
      <c r="M14" s="101">
        <f t="shared" ref="M14:M19" si="5">IF(F14&gt;7000,7000*$L$5,F14*$L$5)</f>
        <v>0</v>
      </c>
      <c r="N14" s="136">
        <f t="shared" ref="N14:N19" si="6">SUM(I14:M14,F14:G14)</f>
        <v>0</v>
      </c>
      <c r="O14" s="95" t="str">
        <f>IF(N14&gt;0.49,"*","")</f>
        <v/>
      </c>
      <c r="P14" s="95"/>
    </row>
    <row r="15" spans="1:19" ht="12.75" customHeight="1">
      <c r="A15" s="160">
        <v>1</v>
      </c>
      <c r="B15" s="94" t="s">
        <v>15</v>
      </c>
      <c r="C15" s="102" t="s">
        <v>193</v>
      </c>
      <c r="D15" s="134">
        <f>22.5*PRInf</f>
        <v>22.95</v>
      </c>
      <c r="E15" s="128">
        <v>30</v>
      </c>
      <c r="F15" s="93">
        <f>+D15*E15*Q15</f>
        <v>16524</v>
      </c>
      <c r="G15" s="101">
        <f t="shared" si="1"/>
        <v>1652.4</v>
      </c>
      <c r="H15" s="155" t="s">
        <v>144</v>
      </c>
      <c r="I15" s="101">
        <f t="shared" si="2"/>
        <v>1264.086</v>
      </c>
      <c r="J15" s="101" t="str">
        <f t="shared" si="3"/>
        <v xml:space="preserve"> </v>
      </c>
      <c r="K15" s="101" t="s">
        <v>57</v>
      </c>
      <c r="L15" s="101">
        <f t="shared" si="4"/>
        <v>165.24</v>
      </c>
      <c r="M15" s="101">
        <f t="shared" si="5"/>
        <v>35</v>
      </c>
      <c r="N15" s="136">
        <f>SUM(I15:M15,F15:G15)</f>
        <v>19640.726000000002</v>
      </c>
      <c r="O15" s="95" t="str">
        <f>IF(N15&gt;0.49,"*","")</f>
        <v>*</v>
      </c>
      <c r="P15" s="155" t="s">
        <v>204</v>
      </c>
      <c r="Q15" s="111">
        <v>24</v>
      </c>
    </row>
    <row r="16" spans="1:19" ht="12.75" customHeight="1">
      <c r="A16" s="160">
        <v>1</v>
      </c>
      <c r="B16" s="94" t="s">
        <v>15</v>
      </c>
      <c r="C16" s="102" t="s">
        <v>196</v>
      </c>
      <c r="D16" s="134">
        <f>1906.3614744352*PRInf</f>
        <v>1944.488703923904</v>
      </c>
      <c r="E16" s="128">
        <v>1</v>
      </c>
      <c r="F16" s="93">
        <f t="shared" ref="F16:F19" si="7">+D16*E16*Q16</f>
        <v>46667.728894173699</v>
      </c>
      <c r="G16" s="101">
        <f t="shared" si="1"/>
        <v>4666.7728894173697</v>
      </c>
      <c r="H16" s="155" t="s">
        <v>144</v>
      </c>
      <c r="I16" s="101">
        <f t="shared" si="2"/>
        <v>3570.0812604042881</v>
      </c>
      <c r="J16" s="101">
        <f t="shared" si="3"/>
        <v>5933.7071999999998</v>
      </c>
      <c r="K16" s="101" t="s">
        <v>144</v>
      </c>
      <c r="L16" s="101">
        <f t="shared" si="4"/>
        <v>466.677288941737</v>
      </c>
      <c r="M16" s="101">
        <f t="shared" si="5"/>
        <v>35</v>
      </c>
      <c r="N16" s="136">
        <f t="shared" si="6"/>
        <v>61339.967532937095</v>
      </c>
      <c r="O16" s="95" t="str">
        <f>IF(N16&gt;0.49,"*","")</f>
        <v>*</v>
      </c>
      <c r="P16" s="155" t="s">
        <v>204</v>
      </c>
      <c r="Q16" s="111">
        <v>24</v>
      </c>
    </row>
    <row r="17" spans="1:17" ht="12.75" customHeight="1">
      <c r="A17" s="160">
        <v>1</v>
      </c>
      <c r="B17" s="94" t="s">
        <v>15</v>
      </c>
      <c r="C17" s="102" t="s">
        <v>194</v>
      </c>
      <c r="D17" s="134">
        <f>10*PRInf</f>
        <v>10.199999999999999</v>
      </c>
      <c r="E17" s="128">
        <v>40</v>
      </c>
      <c r="F17" s="93">
        <f t="shared" si="7"/>
        <v>8160</v>
      </c>
      <c r="G17" s="101">
        <f t="shared" ref="G17" si="8">IF(H17="Y",F17*$G$5," ")</f>
        <v>816</v>
      </c>
      <c r="H17" s="155" t="s">
        <v>144</v>
      </c>
      <c r="I17" s="101">
        <f>+$F17*$I$5</f>
        <v>624.24</v>
      </c>
      <c r="J17" s="101" t="str">
        <f t="shared" si="3"/>
        <v xml:space="preserve"> </v>
      </c>
      <c r="K17" s="161" t="s">
        <v>57</v>
      </c>
      <c r="L17" s="101">
        <f>+$F17*$J$5</f>
        <v>81.600000000000009</v>
      </c>
      <c r="M17" s="101">
        <f>IF(F17&gt;7000,7000*$L$5,F17*$L$5)</f>
        <v>35</v>
      </c>
      <c r="N17" s="136">
        <f>SUM(I17:M17,F17:G17)</f>
        <v>9716.84</v>
      </c>
      <c r="O17" s="95" t="str">
        <f t="shared" ref="O17" si="9">IF(N17&gt;0.49,"*","")</f>
        <v>*</v>
      </c>
      <c r="P17" s="155" t="s">
        <v>202</v>
      </c>
      <c r="Q17" s="111">
        <v>20</v>
      </c>
    </row>
    <row r="18" spans="1:17" ht="12.75" customHeight="1">
      <c r="A18" s="160">
        <v>1</v>
      </c>
      <c r="B18" s="94" t="s">
        <v>15</v>
      </c>
      <c r="C18" s="102" t="s">
        <v>155</v>
      </c>
      <c r="D18" s="134">
        <f>2121.6*PRInf</f>
        <v>2164.0320000000002</v>
      </c>
      <c r="E18" s="128">
        <v>1</v>
      </c>
      <c r="F18" s="93">
        <f t="shared" si="7"/>
        <v>51936.768000000004</v>
      </c>
      <c r="G18" s="101">
        <f t="shared" ref="G18" si="10">IF(H18="Y",F18*$G$5," ")</f>
        <v>5193.6768000000011</v>
      </c>
      <c r="H18" s="155" t="s">
        <v>144</v>
      </c>
      <c r="I18" s="101">
        <f t="shared" si="2"/>
        <v>3973.1627520000002</v>
      </c>
      <c r="J18" s="101" t="str">
        <f t="shared" si="3"/>
        <v xml:space="preserve"> </v>
      </c>
      <c r="K18" s="101" t="s">
        <v>57</v>
      </c>
      <c r="L18" s="101">
        <f t="shared" si="4"/>
        <v>519.36768000000006</v>
      </c>
      <c r="M18" s="101">
        <f t="shared" si="5"/>
        <v>35</v>
      </c>
      <c r="N18" s="136">
        <f t="shared" si="6"/>
        <v>61657.975232000004</v>
      </c>
      <c r="O18" s="95" t="str">
        <f t="shared" ref="O18" si="11">IF(N18&gt;0.49,"*","")</f>
        <v>*</v>
      </c>
      <c r="P18" s="155" t="s">
        <v>204</v>
      </c>
      <c r="Q18" s="111">
        <v>24</v>
      </c>
    </row>
    <row r="19" spans="1:17" ht="12.75" customHeight="1">
      <c r="A19" s="160">
        <f>+A15</f>
        <v>1</v>
      </c>
      <c r="B19" s="94" t="s">
        <v>15</v>
      </c>
      <c r="C19" s="102" t="s">
        <v>200</v>
      </c>
      <c r="D19" s="134">
        <f>1457.28*PRInf</f>
        <v>1486.4256</v>
      </c>
      <c r="E19" s="128">
        <v>1</v>
      </c>
      <c r="F19" s="93">
        <f t="shared" si="7"/>
        <v>35674.214399999997</v>
      </c>
      <c r="G19" s="101">
        <f t="shared" si="1"/>
        <v>3567.4214400000001</v>
      </c>
      <c r="H19" s="155" t="s">
        <v>144</v>
      </c>
      <c r="I19" s="101">
        <f t="shared" si="2"/>
        <v>2729.0774015999996</v>
      </c>
      <c r="J19" s="101" t="str">
        <f t="shared" si="3"/>
        <v xml:space="preserve"> </v>
      </c>
      <c r="K19" s="101" t="s">
        <v>57</v>
      </c>
      <c r="L19" s="101">
        <f t="shared" si="4"/>
        <v>356.742144</v>
      </c>
      <c r="M19" s="101">
        <f t="shared" si="5"/>
        <v>35</v>
      </c>
      <c r="N19" s="136">
        <f t="shared" si="6"/>
        <v>42362.455385599991</v>
      </c>
      <c r="O19" s="95" t="str">
        <f>IF(N19&gt;0.49,"*","")</f>
        <v>*</v>
      </c>
      <c r="P19" s="155" t="s">
        <v>204</v>
      </c>
      <c r="Q19" s="111">
        <v>24</v>
      </c>
    </row>
    <row r="20" spans="1:17" ht="13.95" customHeight="1">
      <c r="A20" s="104" t="e">
        <f>SUM(A19:A19,A58:A58,#REF!,A54,A51:A51,A45,A40:A40,A37:A37,A31:A31,#REF!)</f>
        <v>#REF!</v>
      </c>
      <c r="B20" s="96" t="s">
        <v>2</v>
      </c>
      <c r="C20" s="97" t="s">
        <v>3</v>
      </c>
      <c r="D20" s="124"/>
      <c r="E20" s="127"/>
      <c r="F20" s="98">
        <f>SUM(F14:F19)</f>
        <v>158962.7112941737</v>
      </c>
      <c r="G20" s="98">
        <f>SUM(G14:G19)</f>
        <v>15896.271129417371</v>
      </c>
      <c r="H20" s="98"/>
      <c r="I20" s="98">
        <f>SUM(I14:I19)</f>
        <v>12160.647414004288</v>
      </c>
      <c r="J20" s="98">
        <f>SUM(J14:J19)</f>
        <v>5933.7071999999998</v>
      </c>
      <c r="K20" s="98"/>
      <c r="L20" s="98">
        <f>SUM(L14:L19)</f>
        <v>1589.6271129417371</v>
      </c>
      <c r="M20" s="98">
        <f>SUM(M14:M19)</f>
        <v>175</v>
      </c>
      <c r="N20" s="98">
        <f>SUM(N14:N19)</f>
        <v>194717.96415053707</v>
      </c>
      <c r="O20" s="95" t="str">
        <f>IF(N20&gt;0.49,"*","")</f>
        <v>*</v>
      </c>
    </row>
    <row r="21" spans="1:17" ht="12.75" customHeight="1">
      <c r="D21" s="125"/>
      <c r="E21" s="128"/>
      <c r="F21" s="101"/>
      <c r="G21" s="136"/>
      <c r="J21" s="101" t="str">
        <f t="shared" ref="J21:J33" si="12">IF(K21="Y",((240.01+2.38)*1.02)*24," ")</f>
        <v xml:space="preserve"> </v>
      </c>
      <c r="O21" s="95" t="str">
        <f>IF(O20="*","*","")</f>
        <v>*</v>
      </c>
    </row>
    <row r="22" spans="1:17" ht="12.75" hidden="1" customHeight="1">
      <c r="A22" s="155">
        <v>5</v>
      </c>
      <c r="B22" s="94" t="s">
        <v>167</v>
      </c>
      <c r="E22" s="92"/>
      <c r="F22" s="93"/>
      <c r="G22" s="101">
        <f t="shared" ref="G22" si="13">IF(H22="Y",F22*$G$5," ")</f>
        <v>0</v>
      </c>
      <c r="H22" s="155" t="s">
        <v>144</v>
      </c>
      <c r="I22" s="101">
        <f t="shared" ref="I22:I30" si="14">+$F22*$I$5</f>
        <v>0</v>
      </c>
      <c r="J22" s="101" t="str">
        <f t="shared" si="12"/>
        <v xml:space="preserve"> </v>
      </c>
      <c r="K22" s="162" t="s">
        <v>57</v>
      </c>
      <c r="L22" s="101">
        <f t="shared" ref="L22:L30" si="15">+$F22*$J$5</f>
        <v>0</v>
      </c>
      <c r="M22" s="101">
        <f t="shared" ref="M22:M30" si="16">IF(F22&gt;7000,7000*$L$5,F22*$L$5)</f>
        <v>0</v>
      </c>
      <c r="N22" s="136">
        <f t="shared" ref="N22:N29" si="17">SUM(I22:M22,F22:G22)</f>
        <v>0</v>
      </c>
      <c r="O22" s="95" t="str">
        <f>IF(N22&gt;0.49,"*","")</f>
        <v/>
      </c>
      <c r="P22" s="95"/>
    </row>
    <row r="23" spans="1:17" ht="11.4" hidden="1">
      <c r="A23" s="163" t="e">
        <f>+#REF!</f>
        <v>#REF!</v>
      </c>
      <c r="B23" s="94" t="s">
        <v>167</v>
      </c>
      <c r="E23" s="92"/>
      <c r="F23" s="93">
        <f t="shared" ref="F23:F29" si="18">+E23*24*PRInf</f>
        <v>0</v>
      </c>
      <c r="G23" s="101">
        <f t="shared" ref="G23:G33" si="19">IF(H23="Y",F23*$G$5," ")</f>
        <v>0</v>
      </c>
      <c r="H23" s="155" t="s">
        <v>144</v>
      </c>
      <c r="I23" s="101">
        <f t="shared" si="14"/>
        <v>0</v>
      </c>
      <c r="J23" s="101" t="str">
        <f t="shared" si="12"/>
        <v xml:space="preserve"> </v>
      </c>
      <c r="K23" s="162" t="s">
        <v>57</v>
      </c>
      <c r="L23" s="101">
        <f t="shared" si="15"/>
        <v>0</v>
      </c>
      <c r="M23" s="101">
        <f t="shared" si="16"/>
        <v>0</v>
      </c>
      <c r="N23" s="136">
        <f t="shared" si="17"/>
        <v>0</v>
      </c>
      <c r="O23" s="95" t="str">
        <f t="shared" ref="O23:O24" si="20">IF(N23&gt;0.49,"*","")</f>
        <v/>
      </c>
      <c r="P23" s="95"/>
    </row>
    <row r="24" spans="1:17" ht="11.4" hidden="1">
      <c r="A24" s="163" t="e">
        <f>+#REF!</f>
        <v>#REF!</v>
      </c>
      <c r="B24" s="94" t="s">
        <v>167</v>
      </c>
      <c r="E24" s="92"/>
      <c r="F24" s="93">
        <f t="shared" si="18"/>
        <v>0</v>
      </c>
      <c r="G24" s="101">
        <f t="shared" si="19"/>
        <v>0</v>
      </c>
      <c r="H24" s="155" t="s">
        <v>144</v>
      </c>
      <c r="I24" s="101">
        <f t="shared" si="14"/>
        <v>0</v>
      </c>
      <c r="J24" s="101" t="str">
        <f t="shared" si="12"/>
        <v xml:space="preserve"> </v>
      </c>
      <c r="K24" s="162" t="s">
        <v>57</v>
      </c>
      <c r="L24" s="101">
        <f t="shared" si="15"/>
        <v>0</v>
      </c>
      <c r="M24" s="101">
        <f t="shared" si="16"/>
        <v>0</v>
      </c>
      <c r="N24" s="136">
        <f t="shared" si="17"/>
        <v>0</v>
      </c>
      <c r="O24" s="95" t="str">
        <f t="shared" si="20"/>
        <v/>
      </c>
      <c r="P24" s="95"/>
    </row>
    <row r="25" spans="1:17" ht="11.4" hidden="1">
      <c r="A25" s="163" t="e">
        <f>+#REF!</f>
        <v>#REF!</v>
      </c>
      <c r="B25" s="94" t="s">
        <v>167</v>
      </c>
      <c r="E25" s="92"/>
      <c r="F25" s="93">
        <f t="shared" si="18"/>
        <v>0</v>
      </c>
      <c r="G25" s="101">
        <f t="shared" si="19"/>
        <v>0</v>
      </c>
      <c r="H25" s="155" t="s">
        <v>144</v>
      </c>
      <c r="I25" s="101">
        <f t="shared" si="14"/>
        <v>0</v>
      </c>
      <c r="J25" s="101" t="str">
        <f t="shared" si="12"/>
        <v xml:space="preserve"> </v>
      </c>
      <c r="K25" s="162" t="s">
        <v>57</v>
      </c>
      <c r="L25" s="101">
        <f t="shared" si="15"/>
        <v>0</v>
      </c>
      <c r="M25" s="101">
        <f t="shared" si="16"/>
        <v>0</v>
      </c>
      <c r="N25" s="136">
        <f t="shared" si="17"/>
        <v>0</v>
      </c>
      <c r="O25" s="95" t="str">
        <f t="shared" ref="O25:O81" si="21">IF(N25&gt;0.49,"*","")</f>
        <v/>
      </c>
      <c r="P25" s="95"/>
    </row>
    <row r="26" spans="1:17" ht="11.4" hidden="1">
      <c r="A26" s="163" t="e">
        <f>+#REF!</f>
        <v>#REF!</v>
      </c>
      <c r="B26" s="94" t="s">
        <v>167</v>
      </c>
      <c r="E26" s="92"/>
      <c r="F26" s="93">
        <f t="shared" si="18"/>
        <v>0</v>
      </c>
      <c r="G26" s="101">
        <f t="shared" si="19"/>
        <v>0</v>
      </c>
      <c r="H26" s="155" t="s">
        <v>144</v>
      </c>
      <c r="I26" s="101">
        <f t="shared" si="14"/>
        <v>0</v>
      </c>
      <c r="J26" s="101" t="str">
        <f t="shared" si="12"/>
        <v xml:space="preserve"> </v>
      </c>
      <c r="K26" s="162" t="s">
        <v>57</v>
      </c>
      <c r="L26" s="101">
        <f t="shared" si="15"/>
        <v>0</v>
      </c>
      <c r="M26" s="101">
        <f t="shared" si="16"/>
        <v>0</v>
      </c>
      <c r="N26" s="136">
        <f t="shared" si="17"/>
        <v>0</v>
      </c>
      <c r="O26" s="95" t="str">
        <f t="shared" si="21"/>
        <v/>
      </c>
      <c r="P26" s="95"/>
    </row>
    <row r="27" spans="1:17" ht="11.4">
      <c r="A27" s="163" t="e">
        <f>+#REF!</f>
        <v>#REF!</v>
      </c>
      <c r="B27" s="94" t="s">
        <v>167</v>
      </c>
      <c r="C27" s="91" t="s">
        <v>175</v>
      </c>
      <c r="D27" s="134">
        <f>8.56*PRInf</f>
        <v>8.7312000000000012</v>
      </c>
      <c r="E27" s="128">
        <v>25</v>
      </c>
      <c r="F27" s="93">
        <f>+D27*E27*Q27</f>
        <v>5238.7200000000012</v>
      </c>
      <c r="G27" s="101">
        <f t="shared" si="19"/>
        <v>523.87200000000018</v>
      </c>
      <c r="H27" s="155" t="s">
        <v>144</v>
      </c>
      <c r="I27" s="101">
        <f t="shared" si="14"/>
        <v>400.76208000000008</v>
      </c>
      <c r="J27" s="101" t="str">
        <f t="shared" si="12"/>
        <v xml:space="preserve"> </v>
      </c>
      <c r="K27" s="162" t="s">
        <v>57</v>
      </c>
      <c r="L27" s="101">
        <f t="shared" si="15"/>
        <v>52.387200000000014</v>
      </c>
      <c r="M27" s="101">
        <f t="shared" si="16"/>
        <v>26.193600000000007</v>
      </c>
      <c r="N27" s="136">
        <f t="shared" si="17"/>
        <v>6241.9348800000016</v>
      </c>
      <c r="O27" s="95" t="str">
        <f t="shared" si="21"/>
        <v>*</v>
      </c>
      <c r="P27" s="155" t="s">
        <v>204</v>
      </c>
      <c r="Q27" s="111">
        <v>24</v>
      </c>
    </row>
    <row r="28" spans="1:17" ht="11.4">
      <c r="A28" s="163" t="e">
        <f>+#REF!</f>
        <v>#REF!</v>
      </c>
      <c r="B28" s="94" t="s">
        <v>167</v>
      </c>
      <c r="C28" s="91" t="s">
        <v>156</v>
      </c>
      <c r="D28" s="134">
        <f>8.56*PRInf</f>
        <v>8.7312000000000012</v>
      </c>
      <c r="E28" s="128">
        <v>25</v>
      </c>
      <c r="F28" s="93">
        <f>+D28*E28*Q28</f>
        <v>5238.7200000000012</v>
      </c>
      <c r="G28" s="101">
        <f t="shared" ref="G28" si="22">IF(H28="Y",F28*$G$5," ")</f>
        <v>523.87200000000018</v>
      </c>
      <c r="H28" s="155" t="s">
        <v>144</v>
      </c>
      <c r="I28" s="101">
        <f t="shared" si="14"/>
        <v>400.76208000000008</v>
      </c>
      <c r="J28" s="101" t="str">
        <f t="shared" si="12"/>
        <v xml:space="preserve"> </v>
      </c>
      <c r="K28" s="164" t="s">
        <v>57</v>
      </c>
      <c r="L28" s="101">
        <f t="shared" si="15"/>
        <v>52.387200000000014</v>
      </c>
      <c r="M28" s="101">
        <f t="shared" ref="M28" si="23">IF(F28&gt;7000,7000*$L$5,F28*$L$5)</f>
        <v>26.193600000000007</v>
      </c>
      <c r="N28" s="136">
        <f t="shared" ref="N28" si="24">SUM(I28:M28,F28:G28)</f>
        <v>6241.9348800000016</v>
      </c>
      <c r="O28" s="95" t="str">
        <f t="shared" si="21"/>
        <v>*</v>
      </c>
      <c r="P28" s="155" t="s">
        <v>204</v>
      </c>
      <c r="Q28" s="111">
        <v>24</v>
      </c>
    </row>
    <row r="29" spans="1:17" ht="11.4" hidden="1">
      <c r="A29" s="163" t="e">
        <f>+#REF!</f>
        <v>#REF!</v>
      </c>
      <c r="B29" s="94" t="s">
        <v>167</v>
      </c>
      <c r="D29" s="134"/>
      <c r="E29" s="165"/>
      <c r="F29" s="93">
        <f t="shared" si="18"/>
        <v>0</v>
      </c>
      <c r="G29" s="101">
        <f t="shared" si="19"/>
        <v>0</v>
      </c>
      <c r="H29" s="155" t="s">
        <v>144</v>
      </c>
      <c r="I29" s="101">
        <f t="shared" si="14"/>
        <v>0</v>
      </c>
      <c r="J29" s="101" t="str">
        <f t="shared" si="12"/>
        <v xml:space="preserve"> </v>
      </c>
      <c r="K29" s="162" t="s">
        <v>57</v>
      </c>
      <c r="L29" s="101">
        <f t="shared" si="15"/>
        <v>0</v>
      </c>
      <c r="M29" s="101">
        <f t="shared" si="16"/>
        <v>0</v>
      </c>
      <c r="N29" s="136">
        <f t="shared" si="17"/>
        <v>0</v>
      </c>
      <c r="O29" s="95" t="str">
        <f t="shared" ref="O29" si="25">IF(N29&gt;0.49,"*","")</f>
        <v/>
      </c>
      <c r="P29" s="95"/>
    </row>
    <row r="30" spans="1:17" ht="11.4" hidden="1">
      <c r="A30" s="163" t="e">
        <f>+#REF!</f>
        <v>#REF!</v>
      </c>
      <c r="B30" s="94" t="s">
        <v>167</v>
      </c>
      <c r="E30" s="93"/>
      <c r="F30" s="93"/>
      <c r="G30" s="101">
        <f t="shared" si="19"/>
        <v>0</v>
      </c>
      <c r="H30" s="155" t="s">
        <v>144</v>
      </c>
      <c r="I30" s="101">
        <f t="shared" si="14"/>
        <v>0</v>
      </c>
      <c r="J30" s="101" t="str">
        <f t="shared" si="12"/>
        <v xml:space="preserve"> </v>
      </c>
      <c r="K30" s="155" t="s">
        <v>57</v>
      </c>
      <c r="L30" s="101">
        <f t="shared" si="15"/>
        <v>0</v>
      </c>
      <c r="M30" s="101">
        <f t="shared" si="16"/>
        <v>0</v>
      </c>
      <c r="N30" s="136">
        <f t="shared" ref="N30:N33" si="26">SUM(I30:M30,F30:G30)</f>
        <v>0</v>
      </c>
      <c r="O30" s="95" t="str">
        <f t="shared" si="21"/>
        <v/>
      </c>
      <c r="P30" s="95"/>
    </row>
    <row r="31" spans="1:17" ht="12.75" hidden="1" customHeight="1">
      <c r="A31" s="163" t="e">
        <f>+#REF!</f>
        <v>#REF!</v>
      </c>
      <c r="B31" s="94" t="s">
        <v>167</v>
      </c>
      <c r="E31" s="93"/>
      <c r="F31" s="93"/>
      <c r="G31" s="101">
        <f t="shared" si="19"/>
        <v>0</v>
      </c>
      <c r="H31" s="155" t="s">
        <v>144</v>
      </c>
      <c r="I31" s="101">
        <f t="shared" ref="I31:I33" si="27">+$F31*$I$5</f>
        <v>0</v>
      </c>
      <c r="J31" s="101" t="str">
        <f t="shared" si="12"/>
        <v xml:space="preserve"> </v>
      </c>
      <c r="K31" s="155" t="s">
        <v>57</v>
      </c>
      <c r="L31" s="101">
        <f t="shared" ref="L31:L33" si="28">+$F31*$J$5</f>
        <v>0</v>
      </c>
      <c r="M31" s="101">
        <f t="shared" ref="M31:M33" si="29">IF(F31&gt;7000,7000*$L$5,F31*$L$5)</f>
        <v>0</v>
      </c>
      <c r="N31" s="136">
        <f t="shared" si="26"/>
        <v>0</v>
      </c>
      <c r="O31" s="95" t="str">
        <f t="shared" si="21"/>
        <v/>
      </c>
      <c r="P31" s="95"/>
    </row>
    <row r="32" spans="1:17" ht="12.75" hidden="1" customHeight="1">
      <c r="A32" s="166"/>
      <c r="B32" s="94" t="s">
        <v>167</v>
      </c>
      <c r="E32" s="93"/>
      <c r="F32" s="93"/>
      <c r="G32" s="101">
        <f t="shared" si="19"/>
        <v>0</v>
      </c>
      <c r="H32" s="155" t="s">
        <v>144</v>
      </c>
      <c r="I32" s="101">
        <f t="shared" si="27"/>
        <v>0</v>
      </c>
      <c r="J32" s="101" t="str">
        <f t="shared" si="12"/>
        <v xml:space="preserve"> </v>
      </c>
      <c r="K32" s="155" t="s">
        <v>57</v>
      </c>
      <c r="L32" s="101">
        <f t="shared" si="28"/>
        <v>0</v>
      </c>
      <c r="M32" s="101">
        <f t="shared" ref="M32" si="30">IF(F32&gt;7000,7000*$L$5,F32*$L$5)</f>
        <v>0</v>
      </c>
      <c r="N32" s="136">
        <f t="shared" ref="N32" si="31">SUM(I32:M32,F32:G32)</f>
        <v>0</v>
      </c>
      <c r="O32" s="95" t="str">
        <f t="shared" ref="O32" si="32">IF(N32&gt;0.49,"*","")</f>
        <v/>
      </c>
      <c r="P32" s="95"/>
    </row>
    <row r="33" spans="1:17" ht="12.75" hidden="1" customHeight="1">
      <c r="A33" s="166"/>
      <c r="B33" s="94" t="s">
        <v>167</v>
      </c>
      <c r="E33" s="93"/>
      <c r="F33" s="93"/>
      <c r="G33" s="101">
        <f t="shared" si="19"/>
        <v>0</v>
      </c>
      <c r="H33" s="155" t="s">
        <v>144</v>
      </c>
      <c r="I33" s="101">
        <f t="shared" si="27"/>
        <v>0</v>
      </c>
      <c r="J33" s="101" t="str">
        <f t="shared" si="12"/>
        <v xml:space="preserve"> </v>
      </c>
      <c r="K33" s="155" t="s">
        <v>57</v>
      </c>
      <c r="L33" s="101">
        <f t="shared" si="28"/>
        <v>0</v>
      </c>
      <c r="M33" s="101">
        <f t="shared" si="29"/>
        <v>0</v>
      </c>
      <c r="N33" s="136">
        <f t="shared" si="26"/>
        <v>0</v>
      </c>
      <c r="O33" s="95" t="str">
        <f t="shared" si="21"/>
        <v/>
      </c>
      <c r="P33" s="95"/>
    </row>
    <row r="34" spans="1:17" ht="13.95" customHeight="1">
      <c r="A34" s="160">
        <v>1</v>
      </c>
      <c r="B34" s="99" t="s">
        <v>179</v>
      </c>
      <c r="C34" s="97" t="s">
        <v>165</v>
      </c>
      <c r="D34" s="124"/>
      <c r="E34" s="127"/>
      <c r="F34" s="98">
        <f>SUM(F22:F33)</f>
        <v>10477.440000000002</v>
      </c>
      <c r="G34" s="98">
        <f>SUM(G22:G33)</f>
        <v>1047.7440000000004</v>
      </c>
      <c r="H34" s="98"/>
      <c r="I34" s="98">
        <f>SUM(I22:I33)</f>
        <v>801.52416000000017</v>
      </c>
      <c r="J34" s="98">
        <f>SUM(J22:J33)</f>
        <v>0</v>
      </c>
      <c r="K34" s="98"/>
      <c r="L34" s="98">
        <f>SUM(L22:L33)</f>
        <v>104.77440000000003</v>
      </c>
      <c r="M34" s="98">
        <f>SUM(M22:M33)</f>
        <v>52.387200000000014</v>
      </c>
      <c r="N34" s="98">
        <f>SUM(N22:N33)</f>
        <v>12483.869760000003</v>
      </c>
      <c r="O34" s="95" t="str">
        <f t="shared" si="21"/>
        <v>*</v>
      </c>
    </row>
    <row r="35" spans="1:17" ht="11.4">
      <c r="A35" s="167">
        <v>8</v>
      </c>
      <c r="D35" s="125"/>
      <c r="E35" s="128"/>
      <c r="F35" s="101"/>
      <c r="G35" s="155"/>
      <c r="H35" s="101"/>
      <c r="I35" s="101"/>
      <c r="J35" s="162"/>
      <c r="K35" s="101"/>
      <c r="L35" s="101"/>
      <c r="M35" s="136"/>
      <c r="O35" s="95" t="str">
        <f>IF(O34="*","*","")</f>
        <v>*</v>
      </c>
    </row>
    <row r="36" spans="1:17" ht="12.75" hidden="1" customHeight="1">
      <c r="A36" s="160">
        <v>9</v>
      </c>
      <c r="B36" s="94" t="s">
        <v>168</v>
      </c>
      <c r="E36" s="93"/>
      <c r="F36" s="93">
        <f>+E36*24*PRInf</f>
        <v>0</v>
      </c>
      <c r="G36" s="101">
        <f t="shared" ref="G36:G39" si="33">IF(H36="Y",F36*$G$5," ")</f>
        <v>0</v>
      </c>
      <c r="H36" s="155" t="s">
        <v>144</v>
      </c>
      <c r="I36" s="101">
        <f>+$F36*$I$5</f>
        <v>0</v>
      </c>
      <c r="J36" s="101" t="str">
        <f>IF(K36="Y",((240.01+2.38)*1.02)*24," ")</f>
        <v xml:space="preserve"> </v>
      </c>
      <c r="K36" s="162" t="s">
        <v>57</v>
      </c>
      <c r="L36" s="101">
        <f>+$F36*$J$5</f>
        <v>0</v>
      </c>
      <c r="M36" s="101">
        <f>IF(F36&gt;7000,7000*$L$5,F36*$L$5)</f>
        <v>0</v>
      </c>
      <c r="N36" s="136">
        <f>SUM(I36:M36,F36:G36)</f>
        <v>0</v>
      </c>
      <c r="O36" s="95" t="str">
        <f t="shared" si="21"/>
        <v/>
      </c>
      <c r="P36" s="95"/>
    </row>
    <row r="37" spans="1:17" ht="12.75" hidden="1" customHeight="1">
      <c r="A37" s="160">
        <f>A36</f>
        <v>9</v>
      </c>
      <c r="B37" s="94" t="s">
        <v>168</v>
      </c>
      <c r="E37" s="93"/>
      <c r="F37" s="93">
        <f>+E37*24*PRInf</f>
        <v>0</v>
      </c>
      <c r="G37" s="101">
        <f t="shared" si="33"/>
        <v>0</v>
      </c>
      <c r="H37" s="155" t="s">
        <v>144</v>
      </c>
      <c r="I37" s="101">
        <f>+$F37*$I$5</f>
        <v>0</v>
      </c>
      <c r="J37" s="101" t="str">
        <f>IF(K37="Y",((240.01+2.38)*1.02)*24," ")</f>
        <v xml:space="preserve"> </v>
      </c>
      <c r="K37" s="162" t="s">
        <v>57</v>
      </c>
      <c r="L37" s="101">
        <f>+$F37*$J$5</f>
        <v>0</v>
      </c>
      <c r="M37" s="101">
        <f>IF(F37&gt;7000,7000*$L$5,F37*$L$5)</f>
        <v>0</v>
      </c>
      <c r="N37" s="136">
        <f>SUM(I37:M37,F37:G37)</f>
        <v>0</v>
      </c>
      <c r="O37" s="95" t="str">
        <f t="shared" si="21"/>
        <v/>
      </c>
      <c r="P37" s="95"/>
    </row>
    <row r="38" spans="1:17" ht="12.75" hidden="1" customHeight="1">
      <c r="A38" s="160"/>
      <c r="B38" s="94" t="s">
        <v>168</v>
      </c>
      <c r="E38" s="93"/>
      <c r="F38" s="93">
        <f>+E38*24*PRInf</f>
        <v>0</v>
      </c>
      <c r="G38" s="101">
        <f t="shared" si="33"/>
        <v>0</v>
      </c>
      <c r="H38" s="155" t="s">
        <v>144</v>
      </c>
      <c r="I38" s="101">
        <f>+$F38*$I$5</f>
        <v>0</v>
      </c>
      <c r="J38" s="101" t="str">
        <f>IF(K38="Y",((240.01+2.38)*1.02)*24," ")</f>
        <v xml:space="preserve"> </v>
      </c>
      <c r="K38" s="162" t="s">
        <v>57</v>
      </c>
      <c r="L38" s="101">
        <f>+$F38*$J$5</f>
        <v>0</v>
      </c>
      <c r="M38" s="101">
        <f>IF(F38&gt;7000,7000*$L$5,F38*$L$5)</f>
        <v>0</v>
      </c>
      <c r="N38" s="136">
        <f>SUM(I38:M38,F38:G38)</f>
        <v>0</v>
      </c>
      <c r="O38" s="95" t="str">
        <f t="shared" si="21"/>
        <v/>
      </c>
      <c r="P38" s="95"/>
    </row>
    <row r="39" spans="1:17" ht="12.75" hidden="1" customHeight="1">
      <c r="A39" s="160">
        <v>1</v>
      </c>
      <c r="B39" s="94" t="s">
        <v>168</v>
      </c>
      <c r="E39" s="93"/>
      <c r="F39" s="93">
        <f>+E39*24*PRInf</f>
        <v>0</v>
      </c>
      <c r="G39" s="101">
        <f t="shared" si="33"/>
        <v>0</v>
      </c>
      <c r="H39" s="155" t="s">
        <v>144</v>
      </c>
      <c r="I39" s="101">
        <f>+$F39*$I$5</f>
        <v>0</v>
      </c>
      <c r="J39" s="101" t="str">
        <f>IF(K39="Y",((240.01+2.38)*1.02)*24," ")</f>
        <v xml:space="preserve"> </v>
      </c>
      <c r="K39" s="162" t="s">
        <v>57</v>
      </c>
      <c r="L39" s="101">
        <f>+$F39*$J$5</f>
        <v>0</v>
      </c>
      <c r="M39" s="101">
        <f>IF(F39&gt;7000,7000*$L$5,F39*$L$5)</f>
        <v>0</v>
      </c>
      <c r="N39" s="136">
        <f>SUM(I39:M39,F39:G39)</f>
        <v>0</v>
      </c>
      <c r="O39" s="95" t="str">
        <f t="shared" si="21"/>
        <v/>
      </c>
      <c r="P39" s="95"/>
    </row>
    <row r="40" spans="1:17" ht="12.75" hidden="1" customHeight="1">
      <c r="A40" s="160">
        <f>+A39</f>
        <v>1</v>
      </c>
      <c r="B40" s="99" t="s">
        <v>169</v>
      </c>
      <c r="C40" s="97" t="s">
        <v>62</v>
      </c>
      <c r="D40" s="123"/>
      <c r="E40" s="93"/>
      <c r="F40" s="98">
        <f>SUM(F36:F39)</f>
        <v>0</v>
      </c>
      <c r="G40" s="98">
        <f t="shared" ref="G40:N40" si="34">SUM(G36:G39)</f>
        <v>0</v>
      </c>
      <c r="H40" s="98"/>
      <c r="I40" s="98">
        <f t="shared" si="34"/>
        <v>0</v>
      </c>
      <c r="J40" s="98">
        <f t="shared" si="34"/>
        <v>0</v>
      </c>
      <c r="K40" s="98"/>
      <c r="L40" s="98">
        <f t="shared" si="34"/>
        <v>0</v>
      </c>
      <c r="M40" s="98">
        <f t="shared" si="34"/>
        <v>0</v>
      </c>
      <c r="N40" s="98">
        <f t="shared" si="34"/>
        <v>0</v>
      </c>
      <c r="O40" s="95" t="str">
        <f t="shared" si="21"/>
        <v/>
      </c>
      <c r="P40" s="95"/>
    </row>
    <row r="41" spans="1:17" ht="12.75" hidden="1" customHeight="1">
      <c r="A41" s="160"/>
      <c r="B41" s="100"/>
      <c r="E41" s="93"/>
      <c r="F41" s="101"/>
      <c r="G41" s="136"/>
      <c r="O41" s="95" t="str">
        <f>IF(O40="*","*","")</f>
        <v/>
      </c>
      <c r="P41" s="95"/>
    </row>
    <row r="42" spans="1:17" ht="12.75" hidden="1" customHeight="1">
      <c r="A42" s="166">
        <v>1</v>
      </c>
      <c r="B42" s="94" t="s">
        <v>180</v>
      </c>
      <c r="C42" s="102"/>
      <c r="D42" s="102"/>
      <c r="E42" s="93"/>
      <c r="F42" s="93"/>
      <c r="G42" s="101">
        <f t="shared" ref="G42:G56" si="35">IF(H42="Y",F42*$G$5," ")</f>
        <v>0</v>
      </c>
      <c r="H42" s="155" t="s">
        <v>144</v>
      </c>
      <c r="I42" s="101">
        <f>+$F42*$I$5</f>
        <v>0</v>
      </c>
      <c r="J42" s="101" t="str">
        <f t="shared" ref="J42:J56" si="36">IF(K42="Y",((240.01+2.38)*1.02)*24," ")</f>
        <v xml:space="preserve"> </v>
      </c>
      <c r="K42" s="101" t="s">
        <v>57</v>
      </c>
      <c r="L42" s="101">
        <f>+$F42*$J$5</f>
        <v>0</v>
      </c>
      <c r="M42" s="101">
        <f t="shared" ref="M42:M47" si="37">IF(F42&gt;7000,7000*$L$5,F42*$L$5)</f>
        <v>0</v>
      </c>
      <c r="N42" s="136">
        <f t="shared" ref="N42:N47" si="38">SUM(I42:M42,F42:G42)</f>
        <v>0</v>
      </c>
      <c r="O42" s="95" t="str">
        <f t="shared" si="21"/>
        <v/>
      </c>
      <c r="P42" s="95"/>
    </row>
    <row r="43" spans="1:17" ht="12.75" customHeight="1">
      <c r="A43" s="166">
        <v>3</v>
      </c>
      <c r="B43" s="94" t="s">
        <v>180</v>
      </c>
      <c r="C43" s="102" t="s">
        <v>157</v>
      </c>
      <c r="D43" s="134">
        <f>15.6*PRInf</f>
        <v>15.911999999999999</v>
      </c>
      <c r="E43" s="128">
        <v>80</v>
      </c>
      <c r="F43" s="93">
        <f t="shared" ref="F43:F49" si="39">+D43*E43*Q43</f>
        <v>28005.120000000003</v>
      </c>
      <c r="G43" s="101">
        <f t="shared" si="35"/>
        <v>2800.5120000000006</v>
      </c>
      <c r="H43" s="155" t="s">
        <v>144</v>
      </c>
      <c r="I43" s="101">
        <f>+$F43*$I$5</f>
        <v>2142.3916800000002</v>
      </c>
      <c r="J43" s="101">
        <f t="shared" si="36"/>
        <v>5933.7071999999998</v>
      </c>
      <c r="K43" s="161" t="s">
        <v>144</v>
      </c>
      <c r="L43" s="101">
        <f>+$F43*$J$5</f>
        <v>280.05120000000005</v>
      </c>
      <c r="M43" s="101">
        <f t="shared" si="37"/>
        <v>35</v>
      </c>
      <c r="N43" s="136">
        <f t="shared" si="38"/>
        <v>39196.782080000004</v>
      </c>
      <c r="O43" s="95" t="str">
        <f t="shared" si="21"/>
        <v>*</v>
      </c>
      <c r="P43" s="155" t="s">
        <v>219</v>
      </c>
      <c r="Q43" s="111">
        <v>22</v>
      </c>
    </row>
    <row r="44" spans="1:17" ht="12.75" customHeight="1">
      <c r="A44" s="160">
        <v>7</v>
      </c>
      <c r="B44" s="94" t="s">
        <v>180</v>
      </c>
      <c r="C44" s="102" t="s">
        <v>232</v>
      </c>
      <c r="D44" s="134">
        <f>11.52*PRInf</f>
        <v>11.750399999999999</v>
      </c>
      <c r="E44" s="128">
        <v>65</v>
      </c>
      <c r="F44" s="93">
        <f t="shared" si="39"/>
        <v>16803.072</v>
      </c>
      <c r="G44" s="101">
        <f>IF(H44="Y",F44*$G$5," ")</f>
        <v>1680.3072000000002</v>
      </c>
      <c r="H44" s="155" t="s">
        <v>144</v>
      </c>
      <c r="I44" s="101">
        <f>+$F44*$I$5</f>
        <v>1285.4350079999999</v>
      </c>
      <c r="J44" s="101" t="str">
        <f t="shared" si="36"/>
        <v xml:space="preserve"> </v>
      </c>
      <c r="K44" s="161" t="s">
        <v>57</v>
      </c>
      <c r="L44" s="101">
        <f>+$F44*$J$5</f>
        <v>168.03072</v>
      </c>
      <c r="M44" s="101">
        <f t="shared" si="37"/>
        <v>35</v>
      </c>
      <c r="N44" s="136">
        <f t="shared" si="38"/>
        <v>19971.844927999999</v>
      </c>
      <c r="O44" s="95" t="str">
        <f>IF(N44&gt;0.49,"*","")</f>
        <v>*</v>
      </c>
      <c r="P44" s="155" t="s">
        <v>219</v>
      </c>
      <c r="Q44" s="111">
        <v>22</v>
      </c>
    </row>
    <row r="45" spans="1:17" ht="12.75" customHeight="1">
      <c r="A45" s="166">
        <f>+A43</f>
        <v>3</v>
      </c>
      <c r="B45" s="94" t="s">
        <v>180</v>
      </c>
      <c r="C45" s="102" t="s">
        <v>195</v>
      </c>
      <c r="D45" s="134">
        <f>15.6*PRInf</f>
        <v>15.911999999999999</v>
      </c>
      <c r="E45" s="128">
        <v>80</v>
      </c>
      <c r="F45" s="93">
        <f t="shared" si="39"/>
        <v>28005.120000000003</v>
      </c>
      <c r="G45" s="101">
        <f t="shared" si="35"/>
        <v>2800.5120000000006</v>
      </c>
      <c r="H45" s="155" t="s">
        <v>144</v>
      </c>
      <c r="I45" s="101">
        <f>+$F45*$I$5</f>
        <v>2142.3916800000002</v>
      </c>
      <c r="J45" s="101">
        <f t="shared" si="36"/>
        <v>5933.7071999999998</v>
      </c>
      <c r="K45" s="161" t="s">
        <v>144</v>
      </c>
      <c r="L45" s="101">
        <f>+$F45*$J$5</f>
        <v>280.05120000000005</v>
      </c>
      <c r="M45" s="101">
        <f t="shared" si="37"/>
        <v>35</v>
      </c>
      <c r="N45" s="136">
        <f t="shared" si="38"/>
        <v>39196.782080000004</v>
      </c>
      <c r="O45" s="95" t="str">
        <f t="shared" si="21"/>
        <v>*</v>
      </c>
      <c r="P45" s="155" t="s">
        <v>219</v>
      </c>
      <c r="Q45" s="111">
        <v>22</v>
      </c>
    </row>
    <row r="46" spans="1:17" ht="12.75" customHeight="1">
      <c r="A46" s="160"/>
      <c r="B46" s="94" t="s">
        <v>180</v>
      </c>
      <c r="C46" s="102" t="s">
        <v>197</v>
      </c>
      <c r="D46" s="134">
        <f>15.6*PRInf</f>
        <v>15.911999999999999</v>
      </c>
      <c r="E46" s="128">
        <v>85</v>
      </c>
      <c r="F46" s="93">
        <f t="shared" si="39"/>
        <v>29755.439999999999</v>
      </c>
      <c r="G46" s="101">
        <f t="shared" si="35"/>
        <v>2975.5439999999999</v>
      </c>
      <c r="H46" s="155" t="s">
        <v>144</v>
      </c>
      <c r="I46" s="101">
        <f t="shared" ref="I46:I55" si="40">+$F46*$I$5</f>
        <v>2276.2911599999998</v>
      </c>
      <c r="J46" s="101">
        <f t="shared" si="36"/>
        <v>5933.7071999999998</v>
      </c>
      <c r="K46" s="161" t="s">
        <v>144</v>
      </c>
      <c r="L46" s="101">
        <f t="shared" ref="L46:L55" si="41">+$F46*$J$5</f>
        <v>297.55439999999999</v>
      </c>
      <c r="M46" s="101">
        <f t="shared" si="37"/>
        <v>35</v>
      </c>
      <c r="N46" s="136">
        <f t="shared" si="38"/>
        <v>41273.536759999995</v>
      </c>
      <c r="O46" s="95" t="str">
        <f t="shared" si="21"/>
        <v>*</v>
      </c>
      <c r="P46" s="155" t="s">
        <v>219</v>
      </c>
      <c r="Q46" s="111">
        <v>22</v>
      </c>
    </row>
    <row r="47" spans="1:17" ht="12.75" customHeight="1">
      <c r="A47" s="160"/>
      <c r="B47" s="94" t="s">
        <v>180</v>
      </c>
      <c r="C47" s="102" t="s">
        <v>198</v>
      </c>
      <c r="D47" s="134">
        <f>8.56*PRInf</f>
        <v>8.7312000000000012</v>
      </c>
      <c r="E47" s="128">
        <v>50</v>
      </c>
      <c r="F47" s="93">
        <f t="shared" si="39"/>
        <v>9604.3200000000015</v>
      </c>
      <c r="G47" s="101">
        <f t="shared" si="35"/>
        <v>960.43200000000024</v>
      </c>
      <c r="H47" s="155" t="s">
        <v>144</v>
      </c>
      <c r="I47" s="101">
        <f t="shared" si="40"/>
        <v>734.73048000000006</v>
      </c>
      <c r="J47" s="101">
        <f t="shared" si="36"/>
        <v>5933.7071999999998</v>
      </c>
      <c r="K47" s="161" t="s">
        <v>144</v>
      </c>
      <c r="L47" s="101">
        <f t="shared" si="41"/>
        <v>96.043200000000013</v>
      </c>
      <c r="M47" s="101">
        <f t="shared" si="37"/>
        <v>35</v>
      </c>
      <c r="N47" s="136">
        <f t="shared" si="38"/>
        <v>17364.232880000003</v>
      </c>
      <c r="O47" s="95" t="str">
        <f t="shared" si="21"/>
        <v>*</v>
      </c>
      <c r="P47" s="155" t="s">
        <v>219</v>
      </c>
      <c r="Q47" s="111">
        <v>22</v>
      </c>
    </row>
    <row r="48" spans="1:17" ht="12.75" customHeight="1">
      <c r="A48" s="160">
        <v>1</v>
      </c>
      <c r="B48" s="94" t="s">
        <v>180</v>
      </c>
      <c r="C48" s="102" t="s">
        <v>158</v>
      </c>
      <c r="D48" s="134">
        <f>13.6*PRInf</f>
        <v>13.872</v>
      </c>
      <c r="E48" s="128">
        <v>80</v>
      </c>
      <c r="F48" s="93">
        <f t="shared" si="39"/>
        <v>24414.720000000001</v>
      </c>
      <c r="G48" s="101">
        <f t="shared" si="35"/>
        <v>2441.4720000000002</v>
      </c>
      <c r="H48" s="155" t="s">
        <v>144</v>
      </c>
      <c r="I48" s="101">
        <f t="shared" si="40"/>
        <v>1867.7260800000001</v>
      </c>
      <c r="J48" s="101">
        <f t="shared" si="36"/>
        <v>5933.7071999999998</v>
      </c>
      <c r="K48" s="161" t="s">
        <v>144</v>
      </c>
      <c r="L48" s="101">
        <f t="shared" si="41"/>
        <v>244.14720000000003</v>
      </c>
      <c r="M48" s="101">
        <f t="shared" ref="M48:M55" si="42">IF(F48&gt;7000,7000*$L$5,F48*$L$5)</f>
        <v>35</v>
      </c>
      <c r="N48" s="136">
        <f t="shared" ref="N48:N55" si="43">SUM(I48:M48,F48:G48)</f>
        <v>34936.77248</v>
      </c>
      <c r="O48" s="95" t="str">
        <f t="shared" si="21"/>
        <v>*</v>
      </c>
      <c r="P48" s="155" t="s">
        <v>219</v>
      </c>
      <c r="Q48" s="111">
        <v>22</v>
      </c>
    </row>
    <row r="49" spans="1:17" ht="12.75" hidden="1" customHeight="1">
      <c r="A49" s="160">
        <v>1</v>
      </c>
      <c r="B49" s="94" t="s">
        <v>180</v>
      </c>
      <c r="C49" s="102" t="s">
        <v>199</v>
      </c>
      <c r="D49" s="134">
        <f>11.2*PRInf*0</f>
        <v>0</v>
      </c>
      <c r="E49" s="128">
        <v>65</v>
      </c>
      <c r="F49" s="93">
        <f t="shared" si="39"/>
        <v>0</v>
      </c>
      <c r="G49" s="101">
        <f t="shared" si="35"/>
        <v>0</v>
      </c>
      <c r="H49" s="155" t="s">
        <v>144</v>
      </c>
      <c r="I49" s="101">
        <f t="shared" si="40"/>
        <v>0</v>
      </c>
      <c r="J49" s="101" t="str">
        <f t="shared" si="36"/>
        <v xml:space="preserve"> </v>
      </c>
      <c r="K49" s="161" t="s">
        <v>57</v>
      </c>
      <c r="L49" s="101">
        <f t="shared" si="41"/>
        <v>0</v>
      </c>
      <c r="M49" s="101">
        <f>IF(F49&gt;7000,7000*$L$5,F49*$L$5)</f>
        <v>0</v>
      </c>
      <c r="N49" s="136">
        <f>SUM(I49:M49,F49:G49)</f>
        <v>0</v>
      </c>
      <c r="O49" s="95" t="str">
        <f t="shared" si="21"/>
        <v/>
      </c>
      <c r="P49" s="155" t="s">
        <v>219</v>
      </c>
      <c r="Q49" s="111">
        <v>22</v>
      </c>
    </row>
    <row r="50" spans="1:17" ht="12.75" customHeight="1">
      <c r="A50" s="160"/>
      <c r="B50" s="94" t="s">
        <v>180</v>
      </c>
      <c r="C50" s="102" t="s">
        <v>223</v>
      </c>
      <c r="D50" s="134">
        <f>15*PRInf</f>
        <v>15.3</v>
      </c>
      <c r="E50" s="128">
        <v>95</v>
      </c>
      <c r="F50" s="93">
        <f>+D50*E50*Q50</f>
        <v>31977</v>
      </c>
      <c r="G50" s="101">
        <f t="shared" si="35"/>
        <v>3197.7000000000003</v>
      </c>
      <c r="H50" s="155" t="s">
        <v>144</v>
      </c>
      <c r="I50" s="101">
        <f t="shared" si="40"/>
        <v>2446.2404999999999</v>
      </c>
      <c r="J50" s="101">
        <f t="shared" si="36"/>
        <v>5933.7071999999998</v>
      </c>
      <c r="K50" s="161" t="s">
        <v>144</v>
      </c>
      <c r="L50" s="101">
        <f t="shared" si="41"/>
        <v>319.77</v>
      </c>
      <c r="M50" s="101">
        <f t="shared" si="42"/>
        <v>35</v>
      </c>
      <c r="N50" s="136">
        <f t="shared" si="43"/>
        <v>43909.417699999998</v>
      </c>
      <c r="O50" s="95" t="str">
        <f t="shared" si="21"/>
        <v>*</v>
      </c>
      <c r="P50" s="155" t="s">
        <v>219</v>
      </c>
      <c r="Q50" s="111">
        <v>22</v>
      </c>
    </row>
    <row r="51" spans="1:17" ht="12.75" hidden="1" customHeight="1">
      <c r="A51" s="160">
        <f>+A44</f>
        <v>7</v>
      </c>
      <c r="B51" s="94" t="s">
        <v>180</v>
      </c>
      <c r="C51" s="102"/>
      <c r="D51" s="134"/>
      <c r="E51" s="165"/>
      <c r="F51" s="93"/>
      <c r="G51" s="101">
        <f t="shared" si="35"/>
        <v>0</v>
      </c>
      <c r="H51" s="155" t="s">
        <v>144</v>
      </c>
      <c r="I51" s="101">
        <f t="shared" si="40"/>
        <v>0</v>
      </c>
      <c r="J51" s="101" t="str">
        <f t="shared" si="36"/>
        <v xml:space="preserve"> </v>
      </c>
      <c r="K51" s="161" t="s">
        <v>57</v>
      </c>
      <c r="L51" s="101">
        <f t="shared" si="41"/>
        <v>0</v>
      </c>
      <c r="M51" s="101">
        <f t="shared" si="42"/>
        <v>0</v>
      </c>
      <c r="N51" s="136">
        <f t="shared" si="43"/>
        <v>0</v>
      </c>
      <c r="O51" s="95" t="str">
        <f t="shared" si="21"/>
        <v/>
      </c>
      <c r="P51" s="95"/>
    </row>
    <row r="52" spans="1:17" ht="12.75" hidden="1" customHeight="1">
      <c r="A52" s="160">
        <f>+A51</f>
        <v>7</v>
      </c>
      <c r="B52" s="94" t="s">
        <v>180</v>
      </c>
      <c r="C52" s="102"/>
      <c r="D52" s="134"/>
      <c r="E52" s="165"/>
      <c r="F52" s="93"/>
      <c r="G52" s="101">
        <f t="shared" si="35"/>
        <v>0</v>
      </c>
      <c r="H52" s="155" t="s">
        <v>144</v>
      </c>
      <c r="I52" s="101">
        <f t="shared" si="40"/>
        <v>0</v>
      </c>
      <c r="J52" s="101" t="str">
        <f t="shared" si="36"/>
        <v xml:space="preserve"> </v>
      </c>
      <c r="K52" s="161" t="s">
        <v>57</v>
      </c>
      <c r="L52" s="101">
        <f t="shared" si="41"/>
        <v>0</v>
      </c>
      <c r="M52" s="101">
        <f>IF(F52&gt;7000,7000*$L$5,F52*$L$5)</f>
        <v>0</v>
      </c>
      <c r="N52" s="136">
        <f>SUM(I52:M52,F52:G52)</f>
        <v>0</v>
      </c>
      <c r="O52" s="95" t="str">
        <f t="shared" si="21"/>
        <v/>
      </c>
      <c r="P52" s="95"/>
    </row>
    <row r="53" spans="1:17" ht="12.75" hidden="1" customHeight="1">
      <c r="A53" s="160">
        <v>1</v>
      </c>
      <c r="B53" s="94" t="s">
        <v>180</v>
      </c>
      <c r="C53" s="102"/>
      <c r="D53" s="134"/>
      <c r="E53" s="165"/>
      <c r="F53" s="93"/>
      <c r="G53" s="101">
        <f t="shared" si="35"/>
        <v>0</v>
      </c>
      <c r="H53" s="155" t="s">
        <v>144</v>
      </c>
      <c r="I53" s="101">
        <f t="shared" si="40"/>
        <v>0</v>
      </c>
      <c r="J53" s="101" t="str">
        <f t="shared" si="36"/>
        <v xml:space="preserve"> </v>
      </c>
      <c r="K53" s="101" t="s">
        <v>57</v>
      </c>
      <c r="L53" s="101">
        <f t="shared" si="41"/>
        <v>0</v>
      </c>
      <c r="M53" s="101">
        <f t="shared" si="42"/>
        <v>0</v>
      </c>
      <c r="N53" s="136">
        <f t="shared" si="43"/>
        <v>0</v>
      </c>
      <c r="O53" s="95" t="str">
        <f t="shared" si="21"/>
        <v/>
      </c>
      <c r="P53" s="95"/>
    </row>
    <row r="54" spans="1:17" ht="12.75" hidden="1" customHeight="1">
      <c r="A54" s="160">
        <f>+A53</f>
        <v>1</v>
      </c>
      <c r="B54" s="94" t="s">
        <v>180</v>
      </c>
      <c r="C54" s="102"/>
      <c r="D54" s="134"/>
      <c r="E54" s="165"/>
      <c r="F54" s="93"/>
      <c r="G54" s="101">
        <f t="shared" si="35"/>
        <v>0</v>
      </c>
      <c r="H54" s="155" t="s">
        <v>144</v>
      </c>
      <c r="I54" s="101">
        <f t="shared" si="40"/>
        <v>0</v>
      </c>
      <c r="J54" s="101" t="str">
        <f t="shared" si="36"/>
        <v xml:space="preserve"> </v>
      </c>
      <c r="K54" s="101" t="s">
        <v>57</v>
      </c>
      <c r="L54" s="101">
        <f t="shared" si="41"/>
        <v>0</v>
      </c>
      <c r="M54" s="101">
        <f t="shared" si="42"/>
        <v>0</v>
      </c>
      <c r="N54" s="136">
        <f t="shared" si="43"/>
        <v>0</v>
      </c>
      <c r="O54" s="95" t="str">
        <f t="shared" si="21"/>
        <v/>
      </c>
      <c r="P54" s="95"/>
    </row>
    <row r="55" spans="1:17" ht="12.75" hidden="1" customHeight="1">
      <c r="A55" s="160"/>
      <c r="B55" s="94" t="s">
        <v>180</v>
      </c>
      <c r="C55" s="102"/>
      <c r="D55" s="134"/>
      <c r="E55" s="165"/>
      <c r="F55" s="93"/>
      <c r="G55" s="101">
        <f t="shared" si="35"/>
        <v>0</v>
      </c>
      <c r="H55" s="155" t="s">
        <v>144</v>
      </c>
      <c r="I55" s="101">
        <f t="shared" si="40"/>
        <v>0</v>
      </c>
      <c r="J55" s="101" t="str">
        <f t="shared" si="36"/>
        <v xml:space="preserve"> </v>
      </c>
      <c r="K55" s="101" t="s">
        <v>57</v>
      </c>
      <c r="L55" s="101">
        <f t="shared" si="41"/>
        <v>0</v>
      </c>
      <c r="M55" s="101">
        <f t="shared" si="42"/>
        <v>0</v>
      </c>
      <c r="N55" s="136">
        <f t="shared" si="43"/>
        <v>0</v>
      </c>
      <c r="O55" s="95" t="str">
        <f t="shared" si="21"/>
        <v/>
      </c>
      <c r="P55" s="95"/>
    </row>
    <row r="56" spans="1:17" ht="12.75" hidden="1" customHeight="1">
      <c r="A56" s="160">
        <v>1</v>
      </c>
      <c r="B56" s="94" t="s">
        <v>180</v>
      </c>
      <c r="C56" s="102"/>
      <c r="D56" s="134"/>
      <c r="E56" s="165"/>
      <c r="F56" s="93"/>
      <c r="G56" s="101">
        <f t="shared" si="35"/>
        <v>0</v>
      </c>
      <c r="H56" s="155" t="s">
        <v>144</v>
      </c>
      <c r="I56" s="101">
        <f>+$F56*$I$5</f>
        <v>0</v>
      </c>
      <c r="J56" s="101" t="str">
        <f t="shared" si="36"/>
        <v xml:space="preserve"> </v>
      </c>
      <c r="K56" s="101" t="s">
        <v>57</v>
      </c>
      <c r="L56" s="101">
        <f>+$F56*$J$5</f>
        <v>0</v>
      </c>
      <c r="M56" s="101">
        <f>IF(F56&gt;7000,7000*$L$5,F56*$L$5)</f>
        <v>0</v>
      </c>
      <c r="N56" s="136">
        <f>SUM(I56:M56,F56:G56)</f>
        <v>0</v>
      </c>
      <c r="P56" s="95"/>
    </row>
    <row r="57" spans="1:17" ht="13.95" customHeight="1">
      <c r="A57" s="160">
        <v>4</v>
      </c>
      <c r="B57" s="99" t="s">
        <v>181</v>
      </c>
      <c r="C57" s="97" t="s">
        <v>166</v>
      </c>
      <c r="D57" s="134"/>
      <c r="E57" s="127"/>
      <c r="F57" s="98">
        <f>SUM(F42:F56)</f>
        <v>168564.79200000002</v>
      </c>
      <c r="G57" s="98">
        <f>SUM(G42:G56)</f>
        <v>16856.479200000002</v>
      </c>
      <c r="H57" s="98"/>
      <c r="I57" s="98">
        <f>SUM(I42:I56)</f>
        <v>12895.206587999999</v>
      </c>
      <c r="J57" s="98">
        <f>SUM(J42:J56)</f>
        <v>35602.243199999997</v>
      </c>
      <c r="K57" s="98"/>
      <c r="L57" s="98">
        <f>SUM(L42:L56)</f>
        <v>1685.6479200000003</v>
      </c>
      <c r="M57" s="98">
        <f>SUM(M42:M56)</f>
        <v>245</v>
      </c>
      <c r="N57" s="98">
        <f>SUM(N42:N56)</f>
        <v>235849.368908</v>
      </c>
      <c r="O57" s="95" t="str">
        <f t="shared" si="21"/>
        <v>*</v>
      </c>
    </row>
    <row r="58" spans="1:17" ht="12.75" customHeight="1">
      <c r="A58" s="160">
        <f>+A57</f>
        <v>4</v>
      </c>
      <c r="D58" s="125"/>
      <c r="E58" s="128"/>
      <c r="F58" s="101"/>
      <c r="G58" s="136"/>
      <c r="O58" s="95" t="str">
        <f>IF(O57="*","*","")</f>
        <v>*</v>
      </c>
    </row>
    <row r="59" spans="1:17" ht="12.75" hidden="1" customHeight="1">
      <c r="B59" s="102" t="s">
        <v>182</v>
      </c>
      <c r="C59" s="95"/>
      <c r="D59" s="95"/>
      <c r="E59" s="93"/>
      <c r="F59" s="93"/>
      <c r="G59" s="101">
        <f t="shared" ref="G59:G65" si="44">IF(H59="Y",F59*$G$5," ")</f>
        <v>0</v>
      </c>
      <c r="H59" s="155" t="s">
        <v>144</v>
      </c>
      <c r="I59" s="101">
        <f t="shared" ref="I59:I65" si="45">+$F59*$I$5</f>
        <v>0</v>
      </c>
      <c r="J59" s="101" t="str">
        <f t="shared" ref="J59:J65" si="46">IF(K59="Y",((240.01+2.38)*1.02)*24," ")</f>
        <v xml:space="preserve"> </v>
      </c>
      <c r="K59" s="101" t="s">
        <v>57</v>
      </c>
      <c r="L59" s="101">
        <f t="shared" ref="L59:L65" si="47">+$F59*$J$5</f>
        <v>0</v>
      </c>
      <c r="M59" s="101">
        <f t="shared" ref="M59:M65" si="48">IF(F59&gt;7000,7000*$L$5,F59*$L$5)</f>
        <v>0</v>
      </c>
      <c r="N59" s="136">
        <f t="shared" ref="N59:N65" si="49">SUM(I59:M59,F59:G59)</f>
        <v>0</v>
      </c>
      <c r="O59" s="95" t="str">
        <f t="shared" ref="O59:O64" si="50">IF(N59&gt;0.49,"*","")</f>
        <v/>
      </c>
      <c r="P59" s="95"/>
    </row>
    <row r="60" spans="1:17" ht="12.75" customHeight="1">
      <c r="B60" s="94" t="s">
        <v>182</v>
      </c>
      <c r="C60" s="95" t="s">
        <v>159</v>
      </c>
      <c r="D60" s="134">
        <f>8.56*PRInf</f>
        <v>8.7312000000000012</v>
      </c>
      <c r="E60" s="128">
        <v>30</v>
      </c>
      <c r="F60" s="93">
        <f>+D60*E60*Q60</f>
        <v>5762.5920000000006</v>
      </c>
      <c r="G60" s="101">
        <f t="shared" si="44"/>
        <v>576.25920000000008</v>
      </c>
      <c r="H60" s="155" t="s">
        <v>144</v>
      </c>
      <c r="I60" s="101">
        <f t="shared" si="45"/>
        <v>440.83828800000003</v>
      </c>
      <c r="J60" s="101" t="str">
        <f t="shared" si="46"/>
        <v xml:space="preserve"> </v>
      </c>
      <c r="K60" s="101" t="s">
        <v>57</v>
      </c>
      <c r="L60" s="101">
        <f t="shared" si="47"/>
        <v>57.625920000000008</v>
      </c>
      <c r="M60" s="101">
        <f t="shared" si="48"/>
        <v>28.812960000000004</v>
      </c>
      <c r="N60" s="136">
        <f t="shared" si="49"/>
        <v>6866.1283680000015</v>
      </c>
      <c r="O60" s="95" t="str">
        <f t="shared" ref="O60:O61" si="51">IF(N60&gt;0.49,"*","")</f>
        <v>*</v>
      </c>
      <c r="P60" s="155" t="s">
        <v>219</v>
      </c>
      <c r="Q60" s="111">
        <v>22</v>
      </c>
    </row>
    <row r="61" spans="1:17" ht="12.75" customHeight="1">
      <c r="B61" s="94" t="s">
        <v>182</v>
      </c>
      <c r="C61" s="95" t="s">
        <v>222</v>
      </c>
      <c r="D61" s="134">
        <f>15*PRInf</f>
        <v>15.3</v>
      </c>
      <c r="E61" s="128">
        <v>80</v>
      </c>
      <c r="F61" s="93">
        <f t="shared" ref="F60:F63" si="52">+D61*E61*Q61</f>
        <v>26928</v>
      </c>
      <c r="G61" s="101">
        <f t="shared" si="44"/>
        <v>2692.8</v>
      </c>
      <c r="H61" s="155" t="s">
        <v>144</v>
      </c>
      <c r="I61" s="101">
        <f t="shared" si="45"/>
        <v>2059.9919999999997</v>
      </c>
      <c r="J61" s="101">
        <f t="shared" si="46"/>
        <v>5933.7071999999998</v>
      </c>
      <c r="K61" s="101" t="s">
        <v>144</v>
      </c>
      <c r="L61" s="101">
        <f t="shared" si="47"/>
        <v>269.28000000000003</v>
      </c>
      <c r="M61" s="101">
        <f t="shared" ref="M61" si="53">IF(F61&gt;7000,7000*$L$5,F61*$L$5)</f>
        <v>35</v>
      </c>
      <c r="N61" s="136">
        <f t="shared" ref="N61" si="54">SUM(I61:M61,F61:G61)</f>
        <v>37918.779200000004</v>
      </c>
      <c r="O61" s="95" t="str">
        <f t="shared" si="51"/>
        <v>*</v>
      </c>
      <c r="P61" s="155" t="s">
        <v>219</v>
      </c>
      <c r="Q61" s="111">
        <v>22</v>
      </c>
    </row>
    <row r="62" spans="1:17" ht="12.75" customHeight="1">
      <c r="B62" s="94" t="s">
        <v>182</v>
      </c>
      <c r="C62" s="95" t="s">
        <v>160</v>
      </c>
      <c r="D62" s="135">
        <f>11.5*PRInf</f>
        <v>11.73</v>
      </c>
      <c r="E62" s="128">
        <v>70</v>
      </c>
      <c r="F62" s="93">
        <f t="shared" si="52"/>
        <v>18064.2</v>
      </c>
      <c r="G62" s="101">
        <f t="shared" ref="G62" si="55">IF(H62="Y",F62*$G$5," ")</f>
        <v>1806.42</v>
      </c>
      <c r="H62" s="155" t="s">
        <v>144</v>
      </c>
      <c r="I62" s="101">
        <f t="shared" si="45"/>
        <v>1381.9113</v>
      </c>
      <c r="J62" s="101">
        <f t="shared" si="46"/>
        <v>5933.7071999999998</v>
      </c>
      <c r="K62" s="101" t="s">
        <v>144</v>
      </c>
      <c r="L62" s="101">
        <f t="shared" si="47"/>
        <v>180.64200000000002</v>
      </c>
      <c r="M62" s="101">
        <f t="shared" si="48"/>
        <v>35</v>
      </c>
      <c r="N62" s="136">
        <f t="shared" si="49"/>
        <v>27401.880499999999</v>
      </c>
      <c r="O62" s="95" t="str">
        <f t="shared" si="50"/>
        <v>*</v>
      </c>
      <c r="P62" s="155" t="s">
        <v>219</v>
      </c>
      <c r="Q62" s="111">
        <v>22</v>
      </c>
    </row>
    <row r="63" spans="1:17" ht="12.75" customHeight="1">
      <c r="B63" s="94" t="s">
        <v>182</v>
      </c>
      <c r="C63" s="95" t="s">
        <v>161</v>
      </c>
      <c r="D63" s="135">
        <f>14*PRInf</f>
        <v>14.280000000000001</v>
      </c>
      <c r="E63" s="128">
        <v>80</v>
      </c>
      <c r="F63" s="93">
        <f t="shared" si="52"/>
        <v>25132.800000000003</v>
      </c>
      <c r="G63" s="101">
        <f t="shared" si="44"/>
        <v>2513.2800000000007</v>
      </c>
      <c r="H63" s="155" t="s">
        <v>144</v>
      </c>
      <c r="I63" s="101">
        <f t="shared" si="45"/>
        <v>1922.6592000000003</v>
      </c>
      <c r="J63" s="101">
        <f t="shared" si="46"/>
        <v>5933.7071999999998</v>
      </c>
      <c r="K63" s="101" t="s">
        <v>144</v>
      </c>
      <c r="L63" s="101">
        <f t="shared" si="47"/>
        <v>251.32800000000003</v>
      </c>
      <c r="M63" s="101">
        <f t="shared" si="48"/>
        <v>35</v>
      </c>
      <c r="N63" s="136">
        <f t="shared" si="49"/>
        <v>35788.774400000002</v>
      </c>
      <c r="O63" s="95" t="str">
        <f t="shared" ref="O63" si="56">IF(N63&gt;0.49,"*","")</f>
        <v>*</v>
      </c>
      <c r="P63" s="155" t="s">
        <v>219</v>
      </c>
      <c r="Q63" s="111">
        <v>22</v>
      </c>
    </row>
    <row r="64" spans="1:17" ht="12.75" hidden="1" customHeight="1">
      <c r="B64" s="102" t="s">
        <v>182</v>
      </c>
      <c r="C64" s="95"/>
      <c r="D64" s="135"/>
      <c r="E64" s="128"/>
      <c r="F64" s="93">
        <f>+D64*E64*Q64</f>
        <v>0</v>
      </c>
      <c r="G64" s="101">
        <f t="shared" ref="G64" si="57">IF(H64="Y",F64*$G$5," ")</f>
        <v>0</v>
      </c>
      <c r="H64" s="155" t="s">
        <v>144</v>
      </c>
      <c r="I64" s="101">
        <f t="shared" si="45"/>
        <v>0</v>
      </c>
      <c r="J64" s="101" t="str">
        <f t="shared" si="46"/>
        <v xml:space="preserve"> </v>
      </c>
      <c r="K64" s="101" t="s">
        <v>57</v>
      </c>
      <c r="L64" s="101">
        <f t="shared" si="47"/>
        <v>0</v>
      </c>
      <c r="M64" s="101">
        <f t="shared" si="48"/>
        <v>0</v>
      </c>
      <c r="N64" s="136">
        <f t="shared" si="49"/>
        <v>0</v>
      </c>
      <c r="O64" s="95" t="str">
        <f t="shared" si="50"/>
        <v/>
      </c>
    </row>
    <row r="65" spans="2:17" ht="12.75" hidden="1" customHeight="1">
      <c r="B65" s="102" t="s">
        <v>182</v>
      </c>
      <c r="C65" s="95"/>
      <c r="D65" s="95"/>
      <c r="E65" s="93"/>
      <c r="F65" s="93"/>
      <c r="G65" s="101">
        <f t="shared" si="44"/>
        <v>0</v>
      </c>
      <c r="H65" s="155" t="s">
        <v>144</v>
      </c>
      <c r="I65" s="101">
        <f t="shared" si="45"/>
        <v>0</v>
      </c>
      <c r="J65" s="101" t="str">
        <f t="shared" si="46"/>
        <v xml:space="preserve"> </v>
      </c>
      <c r="K65" s="101" t="s">
        <v>57</v>
      </c>
      <c r="L65" s="101">
        <f t="shared" si="47"/>
        <v>0</v>
      </c>
      <c r="M65" s="101">
        <f t="shared" si="48"/>
        <v>0</v>
      </c>
      <c r="N65" s="136">
        <f t="shared" si="49"/>
        <v>0</v>
      </c>
      <c r="O65" s="95" t="str">
        <f t="shared" si="21"/>
        <v/>
      </c>
      <c r="P65" s="95"/>
    </row>
    <row r="66" spans="2:17" ht="13.95" customHeight="1">
      <c r="B66" s="99" t="s">
        <v>183</v>
      </c>
      <c r="C66" s="97" t="s">
        <v>150</v>
      </c>
      <c r="D66" s="124"/>
      <c r="E66" s="127"/>
      <c r="F66" s="98">
        <f>SUM(F59:F65)</f>
        <v>75887.592000000004</v>
      </c>
      <c r="G66" s="98">
        <f>SUM(G59:G65)</f>
        <v>7588.7592000000004</v>
      </c>
      <c r="I66" s="98">
        <f>SUM(I59:I65)</f>
        <v>5805.4007879999999</v>
      </c>
      <c r="J66" s="98">
        <f>SUM(J59:J65)</f>
        <v>17801.121599999999</v>
      </c>
      <c r="K66" s="98"/>
      <c r="L66" s="98">
        <f t="shared" ref="L66:M66" si="58">SUM(L59:L65)</f>
        <v>758.87592000000018</v>
      </c>
      <c r="M66" s="98">
        <f t="shared" si="58"/>
        <v>133.81296</v>
      </c>
      <c r="N66" s="98">
        <f>SUM(N59:N65)</f>
        <v>107975.56246800002</v>
      </c>
      <c r="O66" s="95" t="str">
        <f t="shared" si="21"/>
        <v>*</v>
      </c>
    </row>
    <row r="67" spans="2:17" ht="12.75" customHeight="1">
      <c r="D67" s="125"/>
      <c r="E67" s="128"/>
      <c r="F67" s="101"/>
      <c r="G67" s="136"/>
      <c r="J67" s="101" t="str">
        <f>IF(K67="Y",((240.01+2.38)*1.02)*24," ")</f>
        <v xml:space="preserve"> </v>
      </c>
      <c r="O67" s="95" t="str">
        <f>IF(O66="*","*","")</f>
        <v>*</v>
      </c>
    </row>
    <row r="68" spans="2:17" ht="12.75" hidden="1" customHeight="1">
      <c r="B68" s="94" t="s">
        <v>74</v>
      </c>
      <c r="E68" s="93"/>
      <c r="F68" s="93"/>
      <c r="G68" s="101">
        <f t="shared" ref="G68:G69" si="59">IF(H68="Y",F68*$G$5," ")</f>
        <v>0</v>
      </c>
      <c r="H68" s="155" t="s">
        <v>144</v>
      </c>
      <c r="I68" s="101"/>
      <c r="J68" s="101" t="str">
        <f>IF(K68="Y",((240.01+2.38)*1.02)*24," ")</f>
        <v xml:space="preserve"> </v>
      </c>
      <c r="K68" s="101" t="s">
        <v>57</v>
      </c>
      <c r="L68" s="101"/>
      <c r="M68" s="101"/>
      <c r="N68" s="136"/>
      <c r="O68" s="95" t="str">
        <f>IF(N68&gt;0.49,"*","")</f>
        <v/>
      </c>
      <c r="P68" s="95"/>
    </row>
    <row r="69" spans="2:17" ht="12.75" hidden="1" customHeight="1">
      <c r="B69" s="94" t="s">
        <v>74</v>
      </c>
      <c r="E69" s="93"/>
      <c r="F69" s="93"/>
      <c r="G69" s="101">
        <f t="shared" si="59"/>
        <v>0</v>
      </c>
      <c r="H69" s="155" t="s">
        <v>144</v>
      </c>
      <c r="I69" s="101"/>
      <c r="J69" s="101" t="str">
        <f>IF(K69="Y",((240.01+2.38)*1.02)*24," ")</f>
        <v xml:space="preserve"> </v>
      </c>
      <c r="K69" s="101" t="s">
        <v>57</v>
      </c>
      <c r="L69" s="101"/>
      <c r="M69" s="101"/>
      <c r="N69" s="136"/>
      <c r="O69" s="95" t="str">
        <f>IF(N69&gt;0.49,"*","")</f>
        <v/>
      </c>
      <c r="P69" s="95"/>
    </row>
    <row r="70" spans="2:17" ht="12.75" hidden="1" customHeight="1">
      <c r="B70" s="99" t="s">
        <v>75</v>
      </c>
      <c r="C70" s="97" t="s">
        <v>76</v>
      </c>
      <c r="D70" s="123"/>
      <c r="E70" s="93"/>
      <c r="F70" s="98">
        <f>SUM(F68:F69)</f>
        <v>0</v>
      </c>
      <c r="G70" s="98">
        <f>SUM(G68:G69)</f>
        <v>0</v>
      </c>
      <c r="I70" s="98">
        <f>SUM(I68:I69)</f>
        <v>0</v>
      </c>
      <c r="J70" s="98">
        <f>SUM(J68:J69)</f>
        <v>0</v>
      </c>
      <c r="K70" s="98"/>
      <c r="L70" s="98">
        <f>SUM(L68:L69)</f>
        <v>0</v>
      </c>
      <c r="M70" s="98">
        <f>SUM(M68:M69)</f>
        <v>0</v>
      </c>
      <c r="N70" s="98">
        <f>SUM(N68:N69)</f>
        <v>0</v>
      </c>
      <c r="O70" s="95" t="str">
        <f>IF(N70&gt;0.49,"*","")</f>
        <v/>
      </c>
      <c r="P70" s="95"/>
    </row>
    <row r="71" spans="2:17" ht="12.75" hidden="1" customHeight="1">
      <c r="E71" s="93"/>
      <c r="F71" s="101"/>
      <c r="G71" s="136"/>
      <c r="J71" s="101" t="str">
        <f>IF(K71="Y",((240.01+2.38)*1.02)*24," ")</f>
        <v xml:space="preserve"> </v>
      </c>
      <c r="O71" s="95" t="str">
        <f>IF(O70="*","*","")</f>
        <v/>
      </c>
      <c r="P71" s="95"/>
    </row>
    <row r="72" spans="2:17" ht="12.75" hidden="1" customHeight="1">
      <c r="B72" s="94" t="s">
        <v>17</v>
      </c>
      <c r="C72" s="95"/>
      <c r="D72" s="95"/>
      <c r="E72" s="93"/>
      <c r="F72" s="93"/>
      <c r="G72" s="101">
        <f>IF(H72="Y",F72*$G$5," ")</f>
        <v>0</v>
      </c>
      <c r="H72" s="155" t="s">
        <v>144</v>
      </c>
      <c r="I72" s="101">
        <f>+$F72*$I$5</f>
        <v>0</v>
      </c>
      <c r="J72" s="101" t="str">
        <f>IF(K72="Y",((240.01+2.38)*1.02)*24," ")</f>
        <v xml:space="preserve"> </v>
      </c>
      <c r="K72" s="101" t="s">
        <v>57</v>
      </c>
      <c r="L72" s="101">
        <f>+$F72*$J$5</f>
        <v>0</v>
      </c>
      <c r="M72" s="101">
        <f>IF(F72&gt;7000,7000*$L$5,F72*$L$5)</f>
        <v>0</v>
      </c>
      <c r="N72" s="136">
        <f>SUM(I72:M72,F72:G72)</f>
        <v>0</v>
      </c>
      <c r="O72" s="95" t="str">
        <f t="shared" si="21"/>
        <v/>
      </c>
      <c r="P72" s="95"/>
    </row>
    <row r="73" spans="2:17" ht="14.1" hidden="1" customHeight="1">
      <c r="B73" s="94" t="s">
        <v>17</v>
      </c>
      <c r="C73" s="95"/>
      <c r="D73" s="95"/>
      <c r="E73" s="103"/>
      <c r="F73" s="93"/>
      <c r="G73" s="101">
        <f>IF(H73="Y",F73*$G$5," ")</f>
        <v>0</v>
      </c>
      <c r="H73" s="155" t="s">
        <v>144</v>
      </c>
      <c r="I73" s="101">
        <f>+$F73*$I$5</f>
        <v>0</v>
      </c>
      <c r="J73" s="101" t="str">
        <f>IF(K73="Y",((240.01+2.38)*1.02)*24," ")</f>
        <v xml:space="preserve"> </v>
      </c>
      <c r="K73" s="162" t="s">
        <v>57</v>
      </c>
      <c r="L73" s="101">
        <f>+$F73*$J$5</f>
        <v>0</v>
      </c>
      <c r="M73" s="101">
        <f>IF(F73&gt;7000,7000*$L$5,F73*$L$5)</f>
        <v>0</v>
      </c>
      <c r="N73" s="136">
        <f>SUM(I73:M73,F73:G73)</f>
        <v>0</v>
      </c>
      <c r="O73" s="95" t="str">
        <f>IF(N73&gt;0.49,"*","")</f>
        <v/>
      </c>
      <c r="P73" s="95"/>
    </row>
    <row r="74" spans="2:17" ht="12.75" hidden="1" customHeight="1">
      <c r="B74" s="94" t="s">
        <v>17</v>
      </c>
      <c r="C74" s="95"/>
      <c r="D74" s="95"/>
      <c r="E74" s="103"/>
      <c r="F74" s="93"/>
      <c r="G74" s="101">
        <f>IF(H74="Y",F74*$G$5," ")</f>
        <v>0</v>
      </c>
      <c r="H74" s="155" t="s">
        <v>144</v>
      </c>
      <c r="I74" s="101">
        <f>+$F74*$I$5</f>
        <v>0</v>
      </c>
      <c r="J74" s="101" t="str">
        <f>IF(K74="Y",((240.01+2.38)*1.02)*24," ")</f>
        <v xml:space="preserve"> </v>
      </c>
      <c r="K74" s="101" t="s">
        <v>57</v>
      </c>
      <c r="L74" s="101">
        <f>+$F74*$J$5</f>
        <v>0</v>
      </c>
      <c r="M74" s="101">
        <f>IF(F74&gt;7000,7000*$L$5,F74*$L$5)</f>
        <v>0</v>
      </c>
      <c r="N74" s="136">
        <f>SUM(I74:M74,F74:G74)</f>
        <v>0</v>
      </c>
      <c r="O74" s="95" t="str">
        <f t="shared" si="21"/>
        <v/>
      </c>
      <c r="P74" s="95"/>
    </row>
    <row r="75" spans="2:17" ht="12.75" hidden="1" customHeight="1">
      <c r="B75" s="96" t="s">
        <v>4</v>
      </c>
      <c r="C75" s="97" t="s">
        <v>5</v>
      </c>
      <c r="D75" s="123"/>
      <c r="E75" s="93">
        <f>SUM(E72:E74)</f>
        <v>0</v>
      </c>
      <c r="F75" s="98">
        <f>SUM(F72:F74)</f>
        <v>0</v>
      </c>
      <c r="G75" s="98">
        <f>SUM(G72:G74)</f>
        <v>0</v>
      </c>
      <c r="I75" s="98">
        <f>SUM(I72:I74)</f>
        <v>0</v>
      </c>
      <c r="J75" s="98">
        <f>SUM(J72:J74)</f>
        <v>0</v>
      </c>
      <c r="K75" s="98"/>
      <c r="L75" s="98">
        <f>SUM(L72:L74)</f>
        <v>0</v>
      </c>
      <c r="M75" s="98">
        <f>SUM(M72:M74)</f>
        <v>0</v>
      </c>
      <c r="N75" s="98">
        <f>SUM(N72:N74)</f>
        <v>0</v>
      </c>
      <c r="O75" s="95" t="str">
        <f t="shared" si="21"/>
        <v/>
      </c>
      <c r="P75" s="95"/>
    </row>
    <row r="76" spans="2:17" ht="12.75" hidden="1" customHeight="1">
      <c r="B76" s="105"/>
      <c r="E76" s="93"/>
      <c r="F76" s="101"/>
      <c r="G76" s="136"/>
      <c r="O76" s="95" t="str">
        <f>IF(O75="*","*","")</f>
        <v/>
      </c>
      <c r="P76" s="95"/>
    </row>
    <row r="77" spans="2:17" ht="12.75" hidden="1" customHeight="1">
      <c r="B77" s="94" t="s">
        <v>13</v>
      </c>
      <c r="E77" s="103"/>
      <c r="F77" s="93"/>
      <c r="G77" s="101">
        <f t="shared" ref="G77:G81" si="60">IF(H77="Y",F77*$G$5," ")</f>
        <v>0</v>
      </c>
      <c r="H77" s="155" t="s">
        <v>144</v>
      </c>
      <c r="I77" s="101">
        <f>+$F77*$I$5</f>
        <v>0</v>
      </c>
      <c r="J77" s="101" t="str">
        <f>IF(K77="Y",((240.01+2.38)*1.02)*24," ")</f>
        <v xml:space="preserve"> </v>
      </c>
      <c r="K77" s="101" t="s">
        <v>57</v>
      </c>
      <c r="L77" s="101">
        <f>+$F77*$J$5</f>
        <v>0</v>
      </c>
      <c r="M77" s="101">
        <f>IF(F77&gt;7000,7000*$L$5,F77*$L$5)</f>
        <v>0</v>
      </c>
      <c r="N77" s="136">
        <f>SUM(I77:M77,F77:G77)</f>
        <v>0</v>
      </c>
      <c r="O77" s="95" t="str">
        <f t="shared" si="21"/>
        <v/>
      </c>
      <c r="P77" s="95"/>
    </row>
    <row r="78" spans="2:17" ht="12.75" customHeight="1">
      <c r="B78" s="94" t="s">
        <v>13</v>
      </c>
      <c r="C78" s="95" t="s">
        <v>162</v>
      </c>
      <c r="D78" s="134">
        <f>8.56*PRInf</f>
        <v>8.7312000000000012</v>
      </c>
      <c r="E78" s="128">
        <v>25</v>
      </c>
      <c r="F78" s="93">
        <f t="shared" ref="F78:F80" si="61">+D78*E78*Q78</f>
        <v>5238.7200000000012</v>
      </c>
      <c r="G78" s="101">
        <f t="shared" si="60"/>
        <v>523.87200000000018</v>
      </c>
      <c r="H78" s="155" t="s">
        <v>144</v>
      </c>
      <c r="I78" s="101">
        <f>+$F78*$I$5</f>
        <v>400.76208000000008</v>
      </c>
      <c r="J78" s="101" t="str">
        <f>IF(K78="Y",((240.01+2.38)*1.02)*24," ")</f>
        <v xml:space="preserve"> </v>
      </c>
      <c r="K78" s="101" t="s">
        <v>57</v>
      </c>
      <c r="L78" s="101">
        <f>+$F78*$J$5</f>
        <v>52.387200000000014</v>
      </c>
      <c r="M78" s="101">
        <f t="shared" ref="M78:M79" si="62">IF(F78&gt;7000,7000*$L$5,F78*$L$5)</f>
        <v>26.193600000000007</v>
      </c>
      <c r="N78" s="136">
        <f t="shared" ref="N78" si="63">SUM(I78:M78,F78:G78)</f>
        <v>6241.9348800000016</v>
      </c>
      <c r="O78" s="95" t="str">
        <f t="shared" ref="O78" si="64">IF(N78&gt;0.49,"*","")</f>
        <v>*</v>
      </c>
      <c r="P78" s="155" t="s">
        <v>204</v>
      </c>
      <c r="Q78" s="111">
        <v>24</v>
      </c>
    </row>
    <row r="79" spans="2:17" ht="12.75" customHeight="1">
      <c r="B79" s="94" t="s">
        <v>13</v>
      </c>
      <c r="C79" s="95" t="s">
        <v>163</v>
      </c>
      <c r="D79" s="135">
        <f>16.15*PRInf</f>
        <v>16.472999999999999</v>
      </c>
      <c r="E79" s="128">
        <v>20</v>
      </c>
      <c r="F79" s="93">
        <f t="shared" si="61"/>
        <v>7907.0399999999991</v>
      </c>
      <c r="G79" s="101">
        <f t="shared" si="60"/>
        <v>790.70399999999995</v>
      </c>
      <c r="H79" s="155" t="s">
        <v>144</v>
      </c>
      <c r="I79" s="101">
        <f>+$F79*$I$5</f>
        <v>604.88855999999987</v>
      </c>
      <c r="J79" s="101" t="str">
        <f>IF(K79="Y",((240.01+2.38)*1.02)*24," ")</f>
        <v xml:space="preserve"> </v>
      </c>
      <c r="K79" s="101" t="s">
        <v>57</v>
      </c>
      <c r="L79" s="101">
        <f>+$F79*$J$5</f>
        <v>79.070399999999992</v>
      </c>
      <c r="M79" s="101">
        <f t="shared" si="62"/>
        <v>35</v>
      </c>
      <c r="N79" s="136">
        <f t="shared" ref="N79:N81" si="65">SUM(I79:M79,F79:G79)</f>
        <v>9416.7029599999987</v>
      </c>
      <c r="O79" s="95" t="str">
        <f t="shared" si="21"/>
        <v>*</v>
      </c>
      <c r="P79" s="155" t="s">
        <v>204</v>
      </c>
      <c r="Q79" s="111">
        <v>24</v>
      </c>
    </row>
    <row r="80" spans="2:17" ht="12.75" customHeight="1">
      <c r="B80" s="94" t="s">
        <v>13</v>
      </c>
      <c r="C80" s="95" t="s">
        <v>164</v>
      </c>
      <c r="D80" s="134">
        <f>8.56*PRInf</f>
        <v>8.7312000000000012</v>
      </c>
      <c r="E80" s="128">
        <v>25</v>
      </c>
      <c r="F80" s="93">
        <f t="shared" si="61"/>
        <v>5238.7200000000012</v>
      </c>
      <c r="G80" s="101">
        <f t="shared" si="60"/>
        <v>523.87200000000018</v>
      </c>
      <c r="H80" s="155" t="s">
        <v>144</v>
      </c>
      <c r="I80" s="101">
        <f>+$F80*$I$5</f>
        <v>400.76208000000008</v>
      </c>
      <c r="J80" s="101" t="str">
        <f>IF(K80="Y",((240.01+2.38)*1.02)*24," ")</f>
        <v xml:space="preserve"> </v>
      </c>
      <c r="K80" s="101" t="s">
        <v>57</v>
      </c>
      <c r="L80" s="101">
        <f>+$F80*$J$5</f>
        <v>52.387200000000014</v>
      </c>
      <c r="M80" s="101">
        <f>IF(F80&gt;7000,7000*$L$5,F80*$L$5)</f>
        <v>26.193600000000007</v>
      </c>
      <c r="N80" s="136">
        <f t="shared" ref="N80" si="66">SUM(I80:M80,F80:G80)</f>
        <v>6241.9348800000016</v>
      </c>
      <c r="O80" s="95" t="str">
        <f t="shared" ref="O80" si="67">IF(N80&gt;0.49,"*","")</f>
        <v>*</v>
      </c>
      <c r="P80" s="155" t="s">
        <v>204</v>
      </c>
      <c r="Q80" s="111">
        <v>24</v>
      </c>
    </row>
    <row r="81" spans="2:16" ht="12.75" hidden="1" customHeight="1">
      <c r="B81" s="94" t="s">
        <v>13</v>
      </c>
      <c r="C81" s="95"/>
      <c r="D81" s="95"/>
      <c r="E81" s="103"/>
      <c r="F81" s="93">
        <f>+E81*24*PRInf</f>
        <v>0</v>
      </c>
      <c r="G81" s="101">
        <f t="shared" si="60"/>
        <v>0</v>
      </c>
      <c r="H81" s="155" t="s">
        <v>144</v>
      </c>
      <c r="I81" s="101">
        <f>+$F81*$I$5</f>
        <v>0</v>
      </c>
      <c r="J81" s="101" t="str">
        <f>IF(K81="Y",((240.01+2.38)*1.02)*24," ")</f>
        <v xml:space="preserve"> </v>
      </c>
      <c r="K81" s="101" t="s">
        <v>57</v>
      </c>
      <c r="L81" s="101">
        <f>+$F81*$J$5</f>
        <v>0</v>
      </c>
      <c r="M81" s="101">
        <f>IF(F81&gt;7000,7000*$L$5,F81*$L$5)</f>
        <v>0</v>
      </c>
      <c r="N81" s="136">
        <f t="shared" si="65"/>
        <v>0</v>
      </c>
      <c r="O81" s="95" t="str">
        <f t="shared" si="21"/>
        <v/>
      </c>
      <c r="P81" s="95"/>
    </row>
    <row r="82" spans="2:16" ht="13.95" customHeight="1">
      <c r="B82" s="96" t="s">
        <v>6</v>
      </c>
      <c r="C82" s="97" t="s">
        <v>7</v>
      </c>
      <c r="D82" s="124"/>
      <c r="E82" s="168"/>
      <c r="F82" s="98">
        <f>SUM(F77:F81)</f>
        <v>18384.480000000003</v>
      </c>
      <c r="G82" s="98">
        <f>SUM(G77:G81)</f>
        <v>1838.4480000000003</v>
      </c>
      <c r="I82" s="98">
        <f>SUM(I77:I81)</f>
        <v>1406.41272</v>
      </c>
      <c r="J82" s="98">
        <f>SUM(J77:J81)</f>
        <v>0</v>
      </c>
      <c r="K82" s="98"/>
      <c r="L82" s="98">
        <f>SUM(L77:L81)</f>
        <v>183.84480000000002</v>
      </c>
      <c r="M82" s="98">
        <f>SUM(M77:M81)</f>
        <v>87.387200000000007</v>
      </c>
      <c r="N82" s="98">
        <f>SUM(N77:N81)</f>
        <v>21900.57272</v>
      </c>
      <c r="O82" s="95" t="str">
        <f t="shared" ref="O82:O111" si="68">IF(N82&gt;0.49,"*","")</f>
        <v>*</v>
      </c>
    </row>
    <row r="83" spans="2:16" ht="12.75" hidden="1" customHeight="1">
      <c r="E83" s="93"/>
      <c r="F83" s="101"/>
      <c r="G83" s="136"/>
      <c r="J83" s="101" t="str">
        <f>IF(K83="Y",((240.01+2.38)*1.02)*24," ")</f>
        <v xml:space="preserve"> </v>
      </c>
      <c r="O83" s="95" t="str">
        <f>IF(O76="*","*","")</f>
        <v/>
      </c>
      <c r="P83" s="95"/>
    </row>
    <row r="84" spans="2:16" ht="12.75" hidden="1" customHeight="1">
      <c r="B84" s="94" t="s">
        <v>78</v>
      </c>
      <c r="C84" s="95"/>
      <c r="D84" s="95"/>
      <c r="E84" s="103"/>
      <c r="F84" s="93"/>
      <c r="G84" s="101">
        <f t="shared" ref="G84:G86" si="69">IF(H84="Y",F84*$G$5," ")</f>
        <v>0</v>
      </c>
      <c r="H84" s="155" t="s">
        <v>144</v>
      </c>
      <c r="I84" s="101">
        <f>+$F84*$I$5</f>
        <v>0</v>
      </c>
      <c r="J84" s="101" t="str">
        <f>IF(K84="Y",((240.01+2.38)*1.02)*24," ")</f>
        <v xml:space="preserve"> </v>
      </c>
      <c r="K84" s="101" t="s">
        <v>57</v>
      </c>
      <c r="L84" s="101">
        <f>+$F84*$J$9</f>
        <v>0</v>
      </c>
      <c r="M84" s="101">
        <f>IF(F84&gt;7000,7000*$L$5,F84*$L$5)</f>
        <v>0</v>
      </c>
      <c r="N84" s="136">
        <f>SUM(I84:M84,F84:G84)</f>
        <v>0</v>
      </c>
      <c r="O84" s="95" t="str">
        <f t="shared" si="68"/>
        <v/>
      </c>
      <c r="P84" s="95"/>
    </row>
    <row r="85" spans="2:16" ht="12.75" hidden="1" customHeight="1">
      <c r="B85" s="94" t="s">
        <v>78</v>
      </c>
      <c r="C85" s="95"/>
      <c r="D85" s="95"/>
      <c r="E85" s="103"/>
      <c r="F85" s="93"/>
      <c r="G85" s="101">
        <f t="shared" si="69"/>
        <v>0</v>
      </c>
      <c r="H85" s="155" t="s">
        <v>144</v>
      </c>
      <c r="I85" s="101">
        <f>+$F85*$I$5</f>
        <v>0</v>
      </c>
      <c r="J85" s="101" t="str">
        <f>IF(K85="Y",((240.01+2.38)*1.02)*24," ")</f>
        <v xml:space="preserve"> </v>
      </c>
      <c r="K85" s="101" t="s">
        <v>57</v>
      </c>
      <c r="L85" s="101">
        <f>+$F85*$J$9</f>
        <v>0</v>
      </c>
      <c r="M85" s="101">
        <f>IF(F85&gt;7000,7000*$L$5,F85*$L$5)</f>
        <v>0</v>
      </c>
      <c r="N85" s="136">
        <f>SUM(I85:M85,F85:G85)</f>
        <v>0</v>
      </c>
      <c r="O85" s="95" t="str">
        <f t="shared" ref="O85" si="70">IF(N85&gt;0.49,"*","")</f>
        <v/>
      </c>
      <c r="P85" s="95"/>
    </row>
    <row r="86" spans="2:16" ht="12.75" hidden="1" customHeight="1">
      <c r="B86" s="94" t="s">
        <v>78</v>
      </c>
      <c r="C86" s="95"/>
      <c r="D86" s="95"/>
      <c r="E86" s="103"/>
      <c r="F86" s="93"/>
      <c r="G86" s="101">
        <f t="shared" si="69"/>
        <v>0</v>
      </c>
      <c r="H86" s="155" t="s">
        <v>144</v>
      </c>
      <c r="I86" s="101">
        <f>+$F86*$I$5</f>
        <v>0</v>
      </c>
      <c r="J86" s="101" t="str">
        <f>IF(K86="Y",((240.01+2.38)*1.02)*24," ")</f>
        <v xml:space="preserve"> </v>
      </c>
      <c r="K86" s="101" t="s">
        <v>57</v>
      </c>
      <c r="L86" s="101">
        <f>+$F86*$J$9</f>
        <v>0</v>
      </c>
      <c r="M86" s="101">
        <f>IF(F86&gt;7000,7000*$L$5,F86*$L$5)</f>
        <v>0</v>
      </c>
      <c r="N86" s="136">
        <f>SUM(I86:M86,F86:G86)</f>
        <v>0</v>
      </c>
      <c r="O86" s="95" t="str">
        <f t="shared" si="68"/>
        <v/>
      </c>
      <c r="P86" s="95"/>
    </row>
    <row r="87" spans="2:16" ht="12.75" hidden="1" customHeight="1">
      <c r="B87" s="96" t="s">
        <v>79</v>
      </c>
      <c r="C87" s="97" t="s">
        <v>80</v>
      </c>
      <c r="D87" s="123"/>
      <c r="E87" s="93">
        <f>SUM(E84:E86)</f>
        <v>0</v>
      </c>
      <c r="F87" s="98">
        <f t="shared" ref="F87:N87" si="71">SUM(F83:F86)</f>
        <v>0</v>
      </c>
      <c r="G87" s="98">
        <f t="shared" si="71"/>
        <v>0</v>
      </c>
      <c r="H87" s="98">
        <f t="shared" si="71"/>
        <v>0</v>
      </c>
      <c r="I87" s="98">
        <f t="shared" si="71"/>
        <v>0</v>
      </c>
      <c r="J87" s="98">
        <f t="shared" si="71"/>
        <v>0</v>
      </c>
      <c r="K87" s="98">
        <f t="shared" si="71"/>
        <v>0</v>
      </c>
      <c r="L87" s="98">
        <f t="shared" si="71"/>
        <v>0</v>
      </c>
      <c r="M87" s="98">
        <f t="shared" si="71"/>
        <v>0</v>
      </c>
      <c r="N87" s="98">
        <f t="shared" si="71"/>
        <v>0</v>
      </c>
      <c r="O87" s="95" t="str">
        <f t="shared" si="68"/>
        <v/>
      </c>
      <c r="P87" s="95"/>
    </row>
    <row r="88" spans="2:16" ht="12.75" hidden="1" customHeight="1">
      <c r="E88" s="93"/>
      <c r="F88" s="101"/>
      <c r="G88" s="136"/>
      <c r="J88" s="101" t="str">
        <f t="shared" ref="J88:J93" si="72">IF(K88="Y",((240.01+2.38)*1.02)*24," ")</f>
        <v xml:space="preserve"> </v>
      </c>
      <c r="O88" s="95" t="str">
        <f t="shared" si="68"/>
        <v/>
      </c>
      <c r="P88" s="95"/>
    </row>
    <row r="89" spans="2:16" ht="12.75" hidden="1" customHeight="1">
      <c r="B89" s="94" t="s">
        <v>16</v>
      </c>
      <c r="C89" s="95"/>
      <c r="D89" s="95"/>
      <c r="E89" s="103"/>
      <c r="F89" s="93"/>
      <c r="G89" s="101">
        <f t="shared" ref="G89:G93" si="73">IF(H89="Y",F89*$G$5," ")</f>
        <v>0</v>
      </c>
      <c r="H89" s="155" t="s">
        <v>144</v>
      </c>
      <c r="I89" s="101">
        <f>+$F89*$I$5</f>
        <v>0</v>
      </c>
      <c r="J89" s="101" t="str">
        <f t="shared" si="72"/>
        <v xml:space="preserve"> </v>
      </c>
      <c r="K89" s="101" t="s">
        <v>57</v>
      </c>
      <c r="L89" s="101">
        <f>+$F89*$J$7</f>
        <v>0</v>
      </c>
      <c r="M89" s="101">
        <f>IF(F89&gt;7000,7000*$L$5,F89*$L$5)</f>
        <v>0</v>
      </c>
      <c r="N89" s="136">
        <f>SUM(I89:M89,F89:G89)</f>
        <v>0</v>
      </c>
      <c r="O89" s="95" t="str">
        <f t="shared" si="68"/>
        <v/>
      </c>
      <c r="P89" s="95"/>
    </row>
    <row r="90" spans="2:16" ht="12.75" hidden="1" customHeight="1">
      <c r="B90" s="94" t="s">
        <v>16</v>
      </c>
      <c r="C90" s="95"/>
      <c r="D90" s="95"/>
      <c r="E90" s="93"/>
      <c r="F90" s="93">
        <f>+E90*24*PRInf</f>
        <v>0</v>
      </c>
      <c r="G90" s="101">
        <f t="shared" si="73"/>
        <v>0</v>
      </c>
      <c r="H90" s="155" t="s">
        <v>144</v>
      </c>
      <c r="I90" s="101">
        <f t="shared" ref="I90:I92" si="74">+$F90*$I$5</f>
        <v>0</v>
      </c>
      <c r="J90" s="101" t="str">
        <f t="shared" si="72"/>
        <v xml:space="preserve"> </v>
      </c>
      <c r="K90" s="101" t="s">
        <v>57</v>
      </c>
      <c r="L90" s="101">
        <f t="shared" ref="L90:L92" si="75">+$F90*$J$7</f>
        <v>0</v>
      </c>
      <c r="M90" s="101">
        <f t="shared" ref="M90:M92" si="76">IF(F90&gt;7000,7000*$L$5,F90*$L$5)</f>
        <v>0</v>
      </c>
      <c r="N90" s="136">
        <f t="shared" ref="N90:N92" si="77">SUM(I90:M90,F90:G90)</f>
        <v>0</v>
      </c>
      <c r="O90" s="95" t="str">
        <f t="shared" si="68"/>
        <v/>
      </c>
      <c r="P90" s="95"/>
    </row>
    <row r="91" spans="2:16" ht="12.75" hidden="1" customHeight="1">
      <c r="B91" s="94" t="s">
        <v>16</v>
      </c>
      <c r="C91" s="95"/>
      <c r="D91" s="95"/>
      <c r="E91" s="93"/>
      <c r="F91" s="93">
        <f>+E91*24*PRInf</f>
        <v>0</v>
      </c>
      <c r="G91" s="101">
        <f t="shared" si="73"/>
        <v>0</v>
      </c>
      <c r="H91" s="155" t="s">
        <v>144</v>
      </c>
      <c r="I91" s="101">
        <f t="shared" si="74"/>
        <v>0</v>
      </c>
      <c r="J91" s="101" t="str">
        <f t="shared" si="72"/>
        <v xml:space="preserve"> </v>
      </c>
      <c r="K91" s="101" t="s">
        <v>57</v>
      </c>
      <c r="L91" s="101">
        <f t="shared" si="75"/>
        <v>0</v>
      </c>
      <c r="M91" s="101">
        <f t="shared" si="76"/>
        <v>0</v>
      </c>
      <c r="N91" s="136">
        <f t="shared" si="77"/>
        <v>0</v>
      </c>
      <c r="O91" s="95" t="str">
        <f t="shared" si="68"/>
        <v/>
      </c>
      <c r="P91" s="95"/>
    </row>
    <row r="92" spans="2:16" ht="12.75" hidden="1" customHeight="1">
      <c r="B92" s="94" t="s">
        <v>16</v>
      </c>
      <c r="C92" s="95"/>
      <c r="D92" s="95"/>
      <c r="E92" s="93"/>
      <c r="F92" s="93">
        <f>+E92*24*PRInf</f>
        <v>0</v>
      </c>
      <c r="G92" s="101">
        <f t="shared" si="73"/>
        <v>0</v>
      </c>
      <c r="H92" s="155" t="s">
        <v>144</v>
      </c>
      <c r="I92" s="101">
        <f t="shared" si="74"/>
        <v>0</v>
      </c>
      <c r="J92" s="101" t="str">
        <f t="shared" si="72"/>
        <v xml:space="preserve"> </v>
      </c>
      <c r="K92" s="101" t="s">
        <v>57</v>
      </c>
      <c r="L92" s="101">
        <f t="shared" si="75"/>
        <v>0</v>
      </c>
      <c r="M92" s="101">
        <f t="shared" si="76"/>
        <v>0</v>
      </c>
      <c r="N92" s="136">
        <f t="shared" si="77"/>
        <v>0</v>
      </c>
      <c r="O92" s="95" t="str">
        <f t="shared" si="68"/>
        <v/>
      </c>
      <c r="P92" s="95"/>
    </row>
    <row r="93" spans="2:16" ht="12.75" hidden="1" customHeight="1">
      <c r="B93" s="94" t="s">
        <v>16</v>
      </c>
      <c r="C93" s="95"/>
      <c r="D93" s="95"/>
      <c r="E93" s="93"/>
      <c r="F93" s="93">
        <f>+E93*24*PRInf</f>
        <v>0</v>
      </c>
      <c r="G93" s="101">
        <f t="shared" si="73"/>
        <v>0</v>
      </c>
      <c r="H93" s="155" t="s">
        <v>144</v>
      </c>
      <c r="I93" s="101"/>
      <c r="J93" s="101" t="str">
        <f t="shared" si="72"/>
        <v xml:space="preserve"> </v>
      </c>
      <c r="K93" s="101" t="s">
        <v>57</v>
      </c>
      <c r="L93" s="101"/>
      <c r="M93" s="101"/>
      <c r="N93" s="136"/>
      <c r="O93" s="95" t="str">
        <f t="shared" si="68"/>
        <v/>
      </c>
      <c r="P93" s="95"/>
    </row>
    <row r="94" spans="2:16" ht="12.75" hidden="1" customHeight="1">
      <c r="B94" s="96" t="s">
        <v>8</v>
      </c>
      <c r="C94" s="97" t="s">
        <v>9</v>
      </c>
      <c r="D94" s="123"/>
      <c r="E94" s="93">
        <f>SUM(E89:E93)</f>
        <v>0</v>
      </c>
      <c r="F94" s="98">
        <f>SUM(F89:F93)</f>
        <v>0</v>
      </c>
      <c r="G94" s="98">
        <f>SUM(G89:G93)</f>
        <v>0</v>
      </c>
      <c r="I94" s="98">
        <f>SUM(I89:I93)</f>
        <v>0</v>
      </c>
      <c r="J94" s="98">
        <f>SUM(J89:J93)</f>
        <v>0</v>
      </c>
      <c r="K94" s="98"/>
      <c r="L94" s="98">
        <f>SUM(L89:L93)</f>
        <v>0</v>
      </c>
      <c r="M94" s="98">
        <f>SUM(M89:M93)</f>
        <v>0</v>
      </c>
      <c r="N94" s="98">
        <f>SUM(N89:N93)</f>
        <v>0</v>
      </c>
      <c r="O94" s="95" t="str">
        <f t="shared" si="68"/>
        <v/>
      </c>
      <c r="P94" s="95"/>
    </row>
    <row r="95" spans="2:16" ht="12.75" hidden="1" customHeight="1">
      <c r="B95" s="106"/>
      <c r="E95" s="93"/>
      <c r="F95" s="101"/>
      <c r="G95" s="136"/>
      <c r="J95" s="101" t="str">
        <f>IF(K95="Y",((240.01+2.38)*1.02)*24," ")</f>
        <v xml:space="preserve"> </v>
      </c>
      <c r="O95" s="95" t="str">
        <f>IF(O94="*","*","")</f>
        <v/>
      </c>
      <c r="P95" s="95"/>
    </row>
    <row r="96" spans="2:16" ht="12.75" hidden="1" customHeight="1">
      <c r="B96" s="94" t="s">
        <v>19</v>
      </c>
      <c r="C96" s="95"/>
      <c r="D96" s="95"/>
      <c r="E96" s="93"/>
      <c r="F96" s="93">
        <f>+E96*24*PRInf</f>
        <v>0</v>
      </c>
      <c r="G96" s="101">
        <f t="shared" ref="G96:G97" si="78">IF(H96="Y",F96*$G$5," ")</f>
        <v>0</v>
      </c>
      <c r="H96" s="155" t="s">
        <v>144</v>
      </c>
      <c r="I96" s="101"/>
      <c r="J96" s="101" t="str">
        <f>IF(K96="Y",((240.01+2.38)*1.02)*24," ")</f>
        <v xml:space="preserve"> </v>
      </c>
      <c r="K96" s="101" t="s">
        <v>57</v>
      </c>
      <c r="L96" s="101"/>
      <c r="M96" s="101"/>
      <c r="N96" s="136"/>
      <c r="O96" s="95" t="str">
        <f t="shared" si="68"/>
        <v/>
      </c>
      <c r="P96" s="95"/>
    </row>
    <row r="97" spans="2:16" ht="12.75" hidden="1" customHeight="1">
      <c r="B97" s="94" t="s">
        <v>19</v>
      </c>
      <c r="C97" s="95"/>
      <c r="D97" s="95"/>
      <c r="E97" s="93"/>
      <c r="F97" s="93">
        <f>+E97*24*PRInf</f>
        <v>0</v>
      </c>
      <c r="G97" s="101">
        <f t="shared" si="78"/>
        <v>0</v>
      </c>
      <c r="H97" s="155" t="s">
        <v>144</v>
      </c>
      <c r="I97" s="101"/>
      <c r="J97" s="101" t="str">
        <f>IF(K97="Y",((240.01+2.38)*1.02)*24," ")</f>
        <v xml:space="preserve"> </v>
      </c>
      <c r="K97" s="101" t="s">
        <v>57</v>
      </c>
      <c r="L97" s="101"/>
      <c r="M97" s="101"/>
      <c r="N97" s="136"/>
      <c r="O97" s="95" t="str">
        <f t="shared" si="68"/>
        <v/>
      </c>
      <c r="P97" s="95"/>
    </row>
    <row r="98" spans="2:16" ht="12.75" hidden="1" customHeight="1">
      <c r="B98" s="107">
        <v>10040007900165</v>
      </c>
      <c r="C98" s="97" t="s">
        <v>12</v>
      </c>
      <c r="D98" s="123"/>
      <c r="E98" s="93"/>
      <c r="F98" s="98">
        <f>SUM(F96:F97)</f>
        <v>0</v>
      </c>
      <c r="G98" s="98">
        <f>SUM(G96:G97)</f>
        <v>0</v>
      </c>
      <c r="I98" s="98">
        <f>SUM(I96:I97)</f>
        <v>0</v>
      </c>
      <c r="J98" s="98">
        <f>SUM(J96:J97)</f>
        <v>0</v>
      </c>
      <c r="K98" s="98"/>
      <c r="L98" s="98">
        <f>SUM(L96:L97)</f>
        <v>0</v>
      </c>
      <c r="M98" s="98">
        <f>SUM(M96:M97)</f>
        <v>0</v>
      </c>
      <c r="N98" s="98">
        <f>SUM(N96:N97)</f>
        <v>0</v>
      </c>
      <c r="O98" s="95" t="str">
        <f t="shared" si="68"/>
        <v/>
      </c>
      <c r="P98" s="95"/>
    </row>
    <row r="99" spans="2:16" ht="12.75" hidden="1" customHeight="1">
      <c r="B99" s="106"/>
      <c r="E99" s="93"/>
      <c r="F99" s="101"/>
      <c r="G99" s="136"/>
      <c r="J99" s="101" t="str">
        <f>IF(K99="Y",((240.01+2.38)*1.02)*24," ")</f>
        <v xml:space="preserve"> </v>
      </c>
      <c r="O99" s="95" t="str">
        <f>IF(O98="*","*","")</f>
        <v/>
      </c>
      <c r="P99" s="95"/>
    </row>
    <row r="100" spans="2:16" ht="12.75" hidden="1" customHeight="1">
      <c r="B100" s="94" t="s">
        <v>18</v>
      </c>
      <c r="C100" s="95"/>
      <c r="D100" s="95"/>
      <c r="E100" s="103"/>
      <c r="F100" s="93"/>
      <c r="G100" s="101">
        <f t="shared" ref="G100:G103" si="79">IF(H100="Y",F100*$G$5," ")</f>
        <v>0</v>
      </c>
      <c r="H100" s="155" t="s">
        <v>144</v>
      </c>
      <c r="I100" s="101">
        <f>+$F100*$I$5</f>
        <v>0</v>
      </c>
      <c r="J100" s="101" t="str">
        <f>IF(K100="Y",((240.01+2.38)*1.02)*24," ")</f>
        <v xml:space="preserve"> </v>
      </c>
      <c r="K100" s="101" t="s">
        <v>57</v>
      </c>
      <c r="L100" s="101">
        <f>+$F100*$J$9</f>
        <v>0</v>
      </c>
      <c r="M100" s="101">
        <f>IF(F100&gt;7000,7000*$L$5,F100*$L$5)</f>
        <v>0</v>
      </c>
      <c r="N100" s="136">
        <f>SUM(I100:M100,F100:G100)</f>
        <v>0</v>
      </c>
      <c r="O100" s="95" t="str">
        <f t="shared" si="68"/>
        <v/>
      </c>
      <c r="P100" s="95"/>
    </row>
    <row r="101" spans="2:16" ht="12.75" hidden="1" customHeight="1">
      <c r="B101" s="94" t="s">
        <v>18</v>
      </c>
      <c r="C101" s="95"/>
      <c r="D101" s="95"/>
      <c r="E101" s="103"/>
      <c r="F101" s="93"/>
      <c r="G101" s="101">
        <f t="shared" si="79"/>
        <v>0</v>
      </c>
      <c r="H101" s="155" t="s">
        <v>144</v>
      </c>
      <c r="I101" s="101">
        <f>+$F101*$I$5</f>
        <v>0</v>
      </c>
      <c r="J101" s="101" t="str">
        <f>IF(K101="Y",((240.01+2.38)*1.02)*24," ")</f>
        <v xml:space="preserve"> </v>
      </c>
      <c r="K101" s="101" t="s">
        <v>57</v>
      </c>
      <c r="L101" s="101">
        <f>+$F101*$J$9</f>
        <v>0</v>
      </c>
      <c r="M101" s="101">
        <f>IF(F101&gt;7000,7000*$L$5,F101*$L$5)</f>
        <v>0</v>
      </c>
      <c r="N101" s="136">
        <f>SUM(I101:M101,F101:G101)</f>
        <v>0</v>
      </c>
      <c r="O101" s="95" t="str">
        <f t="shared" ref="O101:O102" si="80">IF(N101&gt;0.49,"*","")</f>
        <v/>
      </c>
      <c r="P101" s="95"/>
    </row>
    <row r="102" spans="2:16" ht="12.75" hidden="1" customHeight="1">
      <c r="B102" s="94" t="s">
        <v>18</v>
      </c>
      <c r="C102" s="95"/>
      <c r="D102" s="95"/>
      <c r="E102" s="103"/>
      <c r="F102" s="93"/>
      <c r="G102" s="101">
        <f t="shared" si="79"/>
        <v>0</v>
      </c>
      <c r="H102" s="155" t="s">
        <v>144</v>
      </c>
      <c r="I102" s="101">
        <f>+$F102*$I$5</f>
        <v>0</v>
      </c>
      <c r="J102" s="101" t="str">
        <f>IF(K102="Y",((240.01+2.38)*1.02)*24," ")</f>
        <v xml:space="preserve"> </v>
      </c>
      <c r="K102" s="101" t="s">
        <v>57</v>
      </c>
      <c r="L102" s="101">
        <f>+$F102*$J$9</f>
        <v>0</v>
      </c>
      <c r="M102" s="101">
        <f>IF(F102&gt;7000,7000*$L$5,F102*$L$5)</f>
        <v>0</v>
      </c>
      <c r="N102" s="136">
        <f>SUM(I102:M102,F102:G102)</f>
        <v>0</v>
      </c>
      <c r="O102" s="95" t="str">
        <f t="shared" si="80"/>
        <v/>
      </c>
      <c r="P102" s="95"/>
    </row>
    <row r="103" spans="2:16" ht="12.75" hidden="1" customHeight="1">
      <c r="B103" s="94" t="s">
        <v>18</v>
      </c>
      <c r="C103" s="95"/>
      <c r="D103" s="95"/>
      <c r="E103" s="103"/>
      <c r="F103" s="93"/>
      <c r="G103" s="101">
        <f t="shared" si="79"/>
        <v>0</v>
      </c>
      <c r="H103" s="155" t="s">
        <v>144</v>
      </c>
      <c r="I103" s="101">
        <f>+$F103*$I$5</f>
        <v>0</v>
      </c>
      <c r="J103" s="101" t="str">
        <f>IF(K103="Y",((240.01+2.38)*1.02)*24," ")</f>
        <v xml:space="preserve"> </v>
      </c>
      <c r="K103" s="101" t="s">
        <v>57</v>
      </c>
      <c r="L103" s="101">
        <f>+$F103*$J$9</f>
        <v>0</v>
      </c>
      <c r="M103" s="101">
        <f>IF(F103&gt;7000,7000*$L$5,F103*$L$5)</f>
        <v>0</v>
      </c>
      <c r="N103" s="136">
        <f>SUM(I103:M103,F103:G103)</f>
        <v>0</v>
      </c>
      <c r="O103" s="95" t="str">
        <f t="shared" si="68"/>
        <v/>
      </c>
      <c r="P103" s="95"/>
    </row>
    <row r="104" spans="2:16" ht="12.75" hidden="1" customHeight="1">
      <c r="B104" s="96" t="s">
        <v>10</v>
      </c>
      <c r="C104" s="97" t="s">
        <v>11</v>
      </c>
      <c r="D104" s="123"/>
      <c r="E104" s="93">
        <f>SUM(E100:E103)</f>
        <v>0</v>
      </c>
      <c r="F104" s="98">
        <f>SUM(F100:F103)</f>
        <v>0</v>
      </c>
      <c r="G104" s="98">
        <f>SUM(G100:G103)</f>
        <v>0</v>
      </c>
      <c r="I104" s="98">
        <f>SUM(I100:I103)</f>
        <v>0</v>
      </c>
      <c r="J104" s="98">
        <f>SUM(J100:J103)</f>
        <v>0</v>
      </c>
      <c r="K104" s="98"/>
      <c r="L104" s="98">
        <f>SUM(L100:L103)</f>
        <v>0</v>
      </c>
      <c r="M104" s="98">
        <f>SUM(M100:M103)</f>
        <v>0</v>
      </c>
      <c r="N104" s="98">
        <f>SUM(N100:N103)</f>
        <v>0</v>
      </c>
      <c r="O104" s="95" t="str">
        <f t="shared" si="68"/>
        <v/>
      </c>
      <c r="P104" s="95"/>
    </row>
    <row r="105" spans="2:16" ht="12.75" hidden="1" customHeight="1">
      <c r="E105" s="93"/>
      <c r="F105" s="101"/>
      <c r="G105" s="136"/>
      <c r="O105" s="95" t="str">
        <f>IF(O104="*","*","")</f>
        <v/>
      </c>
      <c r="P105" s="95"/>
    </row>
    <row r="106" spans="2:16" ht="12.75" hidden="1" customHeight="1">
      <c r="B106" s="94" t="s">
        <v>14</v>
      </c>
      <c r="C106" s="95"/>
      <c r="D106" s="95"/>
      <c r="E106" s="93"/>
      <c r="F106" s="93"/>
      <c r="G106" s="101">
        <f t="shared" ref="G106:G109" si="81">IF(H106="Y",F106*$G$5," ")</f>
        <v>0</v>
      </c>
      <c r="H106" s="155" t="s">
        <v>144</v>
      </c>
      <c r="I106" s="101">
        <f t="shared" ref="I106:I109" si="82">+$F106*$I$5</f>
        <v>0</v>
      </c>
      <c r="J106" s="101"/>
      <c r="K106" s="101" t="s">
        <v>57</v>
      </c>
      <c r="L106" s="101">
        <f t="shared" ref="L106:L109" si="83">+$F106*$J$9</f>
        <v>0</v>
      </c>
      <c r="M106" s="101">
        <f>IF(F106&gt;7000,7000*$L$5,F106*$L$5)</f>
        <v>0</v>
      </c>
      <c r="N106" s="136">
        <f>SUM(I106:M106,F106:G106)</f>
        <v>0</v>
      </c>
      <c r="O106" s="95" t="str">
        <f t="shared" ref="O106:O107" si="84">IF(N106&gt;0.49,"*","")</f>
        <v/>
      </c>
      <c r="P106" s="95"/>
    </row>
    <row r="107" spans="2:16" ht="12.75" hidden="1" customHeight="1">
      <c r="B107" s="94" t="s">
        <v>14</v>
      </c>
      <c r="C107" s="95"/>
      <c r="D107" s="95"/>
      <c r="E107" s="93"/>
      <c r="F107" s="93"/>
      <c r="G107" s="101">
        <f t="shared" si="81"/>
        <v>0</v>
      </c>
      <c r="H107" s="155" t="s">
        <v>144</v>
      </c>
      <c r="I107" s="101">
        <f t="shared" si="82"/>
        <v>0</v>
      </c>
      <c r="J107" s="101"/>
      <c r="K107" s="101" t="s">
        <v>57</v>
      </c>
      <c r="L107" s="101">
        <f t="shared" si="83"/>
        <v>0</v>
      </c>
      <c r="M107" s="101">
        <f>IF(F107&gt;7000,7000*$L$5,F107*$L$5)</f>
        <v>0</v>
      </c>
      <c r="N107" s="136">
        <f>SUM(I107:M107,F107:G107)</f>
        <v>0</v>
      </c>
      <c r="O107" s="95" t="str">
        <f t="shared" si="84"/>
        <v/>
      </c>
      <c r="P107" s="95"/>
    </row>
    <row r="108" spans="2:16" ht="12.75" hidden="1" customHeight="1">
      <c r="B108" s="94" t="s">
        <v>14</v>
      </c>
      <c r="C108" s="102"/>
      <c r="D108" s="102"/>
      <c r="E108" s="93"/>
      <c r="F108" s="93">
        <f>+E108*24*PRInf</f>
        <v>0</v>
      </c>
      <c r="G108" s="101">
        <f t="shared" si="81"/>
        <v>0</v>
      </c>
      <c r="H108" s="155" t="s">
        <v>144</v>
      </c>
      <c r="I108" s="101">
        <f t="shared" si="82"/>
        <v>0</v>
      </c>
      <c r="J108" s="101"/>
      <c r="K108" s="101" t="s">
        <v>57</v>
      </c>
      <c r="L108" s="101">
        <f t="shared" si="83"/>
        <v>0</v>
      </c>
      <c r="M108" s="101">
        <f>IF(F108&gt;7000,7000*$L$5,F108*$L$5)</f>
        <v>0</v>
      </c>
      <c r="N108" s="136">
        <f>SUM(I108:M108,F108:G108)</f>
        <v>0</v>
      </c>
      <c r="O108" s="95" t="str">
        <f t="shared" ref="O108" si="85">IF(N108&gt;0.49,"*","")</f>
        <v/>
      </c>
      <c r="P108" s="95"/>
    </row>
    <row r="109" spans="2:16" ht="12.75" hidden="1" customHeight="1">
      <c r="B109" s="94" t="s">
        <v>14</v>
      </c>
      <c r="C109" s="102"/>
      <c r="D109" s="102"/>
      <c r="E109" s="93"/>
      <c r="F109" s="93">
        <f>+E109*24*PRInf</f>
        <v>0</v>
      </c>
      <c r="G109" s="101">
        <f t="shared" si="81"/>
        <v>0</v>
      </c>
      <c r="H109" s="155" t="s">
        <v>144</v>
      </c>
      <c r="I109" s="101">
        <f t="shared" si="82"/>
        <v>0</v>
      </c>
      <c r="J109" s="101"/>
      <c r="K109" s="101" t="s">
        <v>57</v>
      </c>
      <c r="L109" s="101">
        <f t="shared" si="83"/>
        <v>0</v>
      </c>
      <c r="M109" s="101">
        <f>IF(F109&gt;7000,7000*$L$5,F109*$L$5)</f>
        <v>0</v>
      </c>
      <c r="N109" s="136">
        <f>SUM(I109:M109,F109:G109)</f>
        <v>0</v>
      </c>
      <c r="O109" s="95" t="str">
        <f t="shared" si="68"/>
        <v/>
      </c>
      <c r="P109" s="95"/>
    </row>
    <row r="110" spans="2:16" ht="12.75" hidden="1" customHeight="1">
      <c r="B110" s="108">
        <v>89140009100150</v>
      </c>
      <c r="C110" s="97" t="s">
        <v>63</v>
      </c>
      <c r="D110" s="123"/>
      <c r="E110" s="93">
        <f>SUM(E106:E109)</f>
        <v>0</v>
      </c>
      <c r="F110" s="93">
        <f t="shared" ref="F110:G110" si="86">SUM(F106:F109)</f>
        <v>0</v>
      </c>
      <c r="G110" s="93">
        <f t="shared" si="86"/>
        <v>0</v>
      </c>
      <c r="I110" s="93">
        <f t="shared" ref="I110:J110" si="87">SUM(I106:I109)</f>
        <v>0</v>
      </c>
      <c r="J110" s="93">
        <f t="shared" si="87"/>
        <v>0</v>
      </c>
      <c r="K110" s="169"/>
      <c r="L110" s="93">
        <f t="shared" ref="L110:N110" si="88">SUM(L106:L109)</f>
        <v>0</v>
      </c>
      <c r="M110" s="93">
        <f t="shared" si="88"/>
        <v>0</v>
      </c>
      <c r="N110" s="93">
        <f t="shared" si="88"/>
        <v>0</v>
      </c>
      <c r="O110" s="95" t="str">
        <f t="shared" si="68"/>
        <v/>
      </c>
      <c r="P110" s="95"/>
    </row>
    <row r="111" spans="2:16" ht="13.95" customHeight="1">
      <c r="E111" s="129"/>
      <c r="F111" s="109">
        <f>SUM(F110:F110,F104:F104,F98:F98,F94,F87,F82:F82,F75,F66:F66,F20:F20,F57:F57,F40,F34)+F70</f>
        <v>432277.01529417373</v>
      </c>
      <c r="G111" s="109">
        <f>SUM(G110:G110,G104:G104,G98:G98,G94,G87,G82:G82,G75,G66:G66,G20:G20,G57:G57,G40,G34)+G70</f>
        <v>43227.701529417369</v>
      </c>
      <c r="H111" s="109"/>
      <c r="I111" s="109">
        <f>SUM(I110:I110,I104:I104,I98:I98,I94,I87,I82:I82,I75,I66:I66,I20:I20,I57:I57,I40,I34)+I70</f>
        <v>33069.191670004286</v>
      </c>
      <c r="J111" s="109">
        <f>SUM(J110:J110,J104:J104,J98:J98,J94,J87,J82:J82,J75,J66:J66,J20:J20,J57:J57,J40,J34)+J70</f>
        <v>59337.072</v>
      </c>
      <c r="K111" s="109"/>
      <c r="L111" s="109">
        <f>SUM(L110:L110,L104:L104,L98:L98,L94,L87,L82:L82,L75,L66:L66,L20:L20,L57:L57,L40,L34)+L70</f>
        <v>4322.7701529417382</v>
      </c>
      <c r="M111" s="109">
        <f>SUM(M110:M110,M104:M104,M98:M98,M94,M87,M82:M82,M75,M66:M66,M20:M20,M57:M57,M40,M34)+M70</f>
        <v>693.58735999999999</v>
      </c>
      <c r="N111" s="109">
        <f>SUM(N34,N40,N57,N20,N66,N70,N75,N82,N87,N94,N104,N110)</f>
        <v>572927.33800653717</v>
      </c>
      <c r="O111" s="95" t="str">
        <f t="shared" si="68"/>
        <v>*</v>
      </c>
    </row>
    <row r="112" spans="2:16" ht="12.75" hidden="1" customHeight="1">
      <c r="E112" s="93"/>
      <c r="G112" s="157">
        <f>+G111/$F$111</f>
        <v>9.9999999999999992E-2</v>
      </c>
      <c r="H112" s="157"/>
      <c r="I112" s="157">
        <f t="shared" ref="I112:J112" si="89">+I111/$F$111</f>
        <v>7.6499999999999985E-2</v>
      </c>
      <c r="J112" s="157">
        <f t="shared" si="89"/>
        <v>0.13726631280550472</v>
      </c>
      <c r="K112" s="157"/>
      <c r="L112" s="157">
        <f>+L111/$F$111</f>
        <v>1.0000000000000002E-2</v>
      </c>
      <c r="M112" s="157">
        <f>+M111/$F$111</f>
        <v>1.6044974297974158E-3</v>
      </c>
      <c r="N112" s="157">
        <f>+N111/$F$111</f>
        <v>1.3253708102353023</v>
      </c>
      <c r="P112" s="95"/>
    </row>
    <row r="113" spans="5:11" ht="12.75" customHeight="1">
      <c r="E113" s="168"/>
      <c r="F113" s="136"/>
    </row>
    <row r="114" spans="5:11" ht="12.75" customHeight="1">
      <c r="E114" s="162"/>
      <c r="G114" s="157"/>
      <c r="K114" s="95" t="s">
        <v>71</v>
      </c>
    </row>
    <row r="115" spans="5:11" ht="12.75" customHeight="1">
      <c r="E115" s="162"/>
      <c r="F115" s="93"/>
      <c r="G115" s="157"/>
    </row>
    <row r="116" spans="5:11" ht="12.75" customHeight="1">
      <c r="E116" s="162"/>
      <c r="F116" s="93"/>
    </row>
    <row r="117" spans="5:11" ht="12.75" customHeight="1">
      <c r="E117" s="162"/>
      <c r="F117" s="93"/>
      <c r="G117" s="157"/>
    </row>
    <row r="118" spans="5:11" ht="12.75" customHeight="1">
      <c r="E118" s="162"/>
      <c r="F118" s="93"/>
      <c r="G118" s="157"/>
    </row>
    <row r="119" spans="5:11" ht="12.75" customHeight="1">
      <c r="E119" s="162"/>
      <c r="F119" s="93"/>
      <c r="G119" s="157"/>
    </row>
    <row r="120" spans="5:11" ht="12.75" customHeight="1">
      <c r="E120" s="162"/>
      <c r="F120" s="93"/>
      <c r="G120" s="157"/>
    </row>
    <row r="121" spans="5:11" ht="12.75" customHeight="1">
      <c r="E121" s="162"/>
      <c r="F121" s="93"/>
      <c r="G121" s="157"/>
    </row>
    <row r="122" spans="5:11" ht="12.75" customHeight="1">
      <c r="E122" s="162"/>
      <c r="F122" s="93"/>
      <c r="G122" s="157"/>
    </row>
    <row r="123" spans="5:11" ht="12.75" customHeight="1">
      <c r="E123" s="128"/>
      <c r="F123" s="93"/>
      <c r="G123" s="157"/>
    </row>
    <row r="124" spans="5:11" ht="12.75" customHeight="1">
      <c r="E124" s="128"/>
      <c r="F124" s="93"/>
      <c r="G124" s="157"/>
    </row>
    <row r="125" spans="5:11" ht="12.75" customHeight="1">
      <c r="E125" s="128"/>
      <c r="F125" s="93"/>
      <c r="G125" s="157"/>
    </row>
    <row r="126" spans="5:11" ht="12.75" customHeight="1">
      <c r="E126" s="128"/>
      <c r="F126" s="93"/>
      <c r="G126" s="157"/>
    </row>
    <row r="127" spans="5:11" ht="12.75" customHeight="1">
      <c r="E127" s="128"/>
      <c r="F127" s="93"/>
      <c r="G127" s="157"/>
    </row>
    <row r="128" spans="5:11" ht="12.75" customHeight="1">
      <c r="E128" s="128"/>
      <c r="F128" s="93"/>
      <c r="G128" s="157"/>
    </row>
    <row r="129" spans="5:7" ht="12.75" customHeight="1">
      <c r="E129" s="128"/>
      <c r="F129" s="93"/>
      <c r="G129" s="157"/>
    </row>
    <row r="130" spans="5:7" ht="12.75" customHeight="1">
      <c r="E130" s="128"/>
      <c r="F130" s="93"/>
      <c r="G130" s="157"/>
    </row>
    <row r="131" spans="5:7" ht="12.75" customHeight="1">
      <c r="E131" s="128"/>
    </row>
    <row r="132" spans="5:7" ht="12.75" customHeight="1">
      <c r="E132" s="128"/>
    </row>
    <row r="133" spans="5:7" ht="12.75" customHeight="1">
      <c r="E133" s="128"/>
    </row>
    <row r="134" spans="5:7" ht="12.75" customHeight="1">
      <c r="E134" s="128"/>
    </row>
    <row r="135" spans="5:7" ht="12.75" customHeight="1">
      <c r="E135" s="128"/>
    </row>
    <row r="136" spans="5:7" ht="12.75" customHeight="1">
      <c r="E136" s="128"/>
    </row>
    <row r="137" spans="5:7" ht="12.75" customHeight="1">
      <c r="E137" s="128"/>
    </row>
    <row r="138" spans="5:7" ht="12.75" customHeight="1">
      <c r="E138" s="128"/>
    </row>
    <row r="139" spans="5:7" ht="12.75" customHeight="1">
      <c r="E139" s="128"/>
    </row>
    <row r="140" spans="5:7" ht="12.75" customHeight="1">
      <c r="E140" s="128"/>
    </row>
    <row r="141" spans="5:7" ht="12.75" customHeight="1">
      <c r="E141" s="128"/>
    </row>
    <row r="142" spans="5:7" ht="12.75" customHeight="1">
      <c r="E142" s="128"/>
    </row>
    <row r="143" spans="5:7" ht="12.75" customHeight="1">
      <c r="E143" s="128"/>
    </row>
    <row r="144" spans="5:7" ht="12.75" customHeight="1">
      <c r="E144" s="128"/>
    </row>
    <row r="145" spans="5:5" ht="12.75" customHeight="1">
      <c r="E145" s="128"/>
    </row>
    <row r="146" spans="5:5" ht="12.75" customHeight="1">
      <c r="E146" s="128"/>
    </row>
    <row r="147" spans="5:5" ht="12.75" customHeight="1">
      <c r="E147" s="128"/>
    </row>
    <row r="148" spans="5:5" ht="12.75" customHeight="1">
      <c r="E148" s="128"/>
    </row>
    <row r="149" spans="5:5" ht="12.75" customHeight="1">
      <c r="E149" s="128"/>
    </row>
    <row r="150" spans="5:5" ht="12.75" customHeight="1">
      <c r="E150" s="128"/>
    </row>
    <row r="151" spans="5:5" ht="12.75" customHeight="1">
      <c r="E151" s="128"/>
    </row>
    <row r="152" spans="5:5" ht="12.75" customHeight="1">
      <c r="E152" s="128"/>
    </row>
    <row r="153" spans="5:5" ht="12.75" customHeight="1">
      <c r="E153" s="128"/>
    </row>
    <row r="154" spans="5:5" ht="12.75" customHeight="1">
      <c r="E154" s="128"/>
    </row>
    <row r="155" spans="5:5" ht="12.75" customHeight="1">
      <c r="E155" s="128"/>
    </row>
    <row r="156" spans="5:5" ht="12.75" customHeight="1">
      <c r="E156" s="128"/>
    </row>
    <row r="157" spans="5:5" ht="12.75" customHeight="1">
      <c r="E157" s="128"/>
    </row>
    <row r="158" spans="5:5" ht="12.75" customHeight="1">
      <c r="E158" s="128"/>
    </row>
    <row r="159" spans="5:5" ht="12.75" customHeight="1">
      <c r="E159" s="128"/>
    </row>
    <row r="160" spans="5:5" ht="12.75" customHeight="1">
      <c r="E160" s="128"/>
    </row>
    <row r="161" spans="5:5" ht="12.75" customHeight="1">
      <c r="E161" s="128"/>
    </row>
    <row r="162" spans="5:5" ht="12.75" customHeight="1">
      <c r="E162" s="128"/>
    </row>
    <row r="163" spans="5:5" ht="12.75" customHeight="1">
      <c r="E163" s="128"/>
    </row>
    <row r="164" spans="5:5" ht="12.75" customHeight="1">
      <c r="E164" s="128"/>
    </row>
    <row r="165" spans="5:5" ht="12.75" customHeight="1">
      <c r="E165" s="128"/>
    </row>
    <row r="166" spans="5:5" ht="12.75" customHeight="1">
      <c r="E166" s="128"/>
    </row>
    <row r="167" spans="5:5" ht="12.75" customHeight="1">
      <c r="E167" s="128"/>
    </row>
  </sheetData>
  <sheetProtection algorithmName="SHA-512" hashValue="RAcbw3XHRaaDL6uJ0DZ/SaPdy920zrypoyz8kdgF1xoyQO4ssPMiE0qMEZVH/FVx0BBhkRppIqcfXHGtgv8vAA==" saltValue="2qQxnXI6ChaDKmrLVoIYQA==" spinCount="100000" sheet="1" objects="1" scenarios="1"/>
  <autoFilter ref="O1:O112" xr:uid="{00000000-0009-0000-0000-000003000000}">
    <filterColumn colId="0">
      <customFilters>
        <customFilter operator="notEqual" val=" "/>
      </customFilters>
    </filterColumn>
  </autoFilter>
  <sortState xmlns:xlrd2="http://schemas.microsoft.com/office/spreadsheetml/2017/richdata2" ref="C96:M98">
    <sortCondition ref="C96:C98"/>
  </sortState>
  <mergeCells count="19">
    <mergeCell ref="B1:F1"/>
    <mergeCell ref="B2:F2"/>
    <mergeCell ref="G9:H9"/>
    <mergeCell ref="G4:H4"/>
    <mergeCell ref="G5:H5"/>
    <mergeCell ref="G6:H6"/>
    <mergeCell ref="G7:H7"/>
    <mergeCell ref="G8:H8"/>
    <mergeCell ref="G3:H3"/>
    <mergeCell ref="G10:H10"/>
    <mergeCell ref="J10:K10"/>
    <mergeCell ref="G13:H13"/>
    <mergeCell ref="J13:K13"/>
    <mergeCell ref="J9:K9"/>
    <mergeCell ref="J4:K4"/>
    <mergeCell ref="J5:K5"/>
    <mergeCell ref="J6:K6"/>
    <mergeCell ref="J7:K7"/>
    <mergeCell ref="J8:K8"/>
  </mergeCells>
  <phoneticPr fontId="0" type="noConversion"/>
  <printOptions horizontalCentered="1"/>
  <pageMargins left="0" right="0" top="0.5" bottom="0.5" header="0" footer="0"/>
  <pageSetup orientation="landscape" horizontalDpi="4294967293"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pageSetUpPr fitToPage="1"/>
  </sheetPr>
  <dimension ref="A1:X172"/>
  <sheetViews>
    <sheetView topLeftCell="B1" zoomScaleNormal="100" workbookViewId="0">
      <selection activeCell="B1" sqref="B1"/>
    </sheetView>
  </sheetViews>
  <sheetFormatPr defaultColWidth="9.109375" defaultRowHeight="13.2"/>
  <cols>
    <col min="1" max="1" width="6.6640625" style="1" hidden="1" customWidth="1"/>
    <col min="2" max="2" width="4" style="1" bestFit="1" customWidth="1"/>
    <col min="3" max="3" width="5" style="1" customWidth="1"/>
    <col min="4" max="4" width="5" style="1" bestFit="1" customWidth="1"/>
    <col min="5" max="5" width="4" style="1" bestFit="1" customWidth="1"/>
    <col min="6" max="6" width="30.109375" style="1" customWidth="1"/>
    <col min="7" max="7" width="11" style="1" hidden="1" customWidth="1"/>
    <col min="8" max="8" width="0.88671875" style="1" hidden="1" customWidth="1"/>
    <col min="9" max="9" width="11.109375" style="1" hidden="1" customWidth="1"/>
    <col min="10" max="10" width="0.88671875" style="1" customWidth="1"/>
    <col min="11" max="11" width="11" style="1" customWidth="1"/>
    <col min="12" max="12" width="0.88671875" style="1" customWidth="1"/>
    <col min="13" max="13" width="11" style="1" customWidth="1"/>
    <col min="14" max="14" width="0.88671875" style="1" customWidth="1"/>
    <col min="15" max="15" width="29.6640625" style="1" customWidth="1"/>
    <col min="16" max="16" width="9.109375" style="1" hidden="1" customWidth="1"/>
    <col min="17" max="17" width="0" style="1" hidden="1" customWidth="1"/>
    <col min="18" max="18" width="4" style="1" hidden="1" customWidth="1"/>
    <col min="19" max="20" width="5" style="1" hidden="1" customWidth="1"/>
    <col min="21" max="21" width="4" style="1" hidden="1" customWidth="1"/>
    <col min="22" max="22" width="45.5546875" style="1" hidden="1" customWidth="1"/>
    <col min="23" max="24" width="9.109375" style="1" hidden="1" customWidth="1"/>
    <col min="25" max="16384" width="9.109375" style="1"/>
  </cols>
  <sheetData>
    <row r="1" spans="1:24">
      <c r="B1" s="215" t="str">
        <f>Budget!B1</f>
        <v>CHAUTAUQUA LEARN &amp; SERVE CHARTER SCHOOL</v>
      </c>
      <c r="C1" s="215"/>
      <c r="D1" s="215"/>
      <c r="E1" s="215"/>
      <c r="F1" s="215"/>
      <c r="G1" s="215"/>
      <c r="P1" s="1" t="s">
        <v>64</v>
      </c>
    </row>
    <row r="2" spans="1:24">
      <c r="B2" s="215" t="s">
        <v>83</v>
      </c>
      <c r="C2" s="215"/>
      <c r="D2" s="215"/>
      <c r="E2" s="215"/>
      <c r="F2" s="215"/>
      <c r="G2" s="215"/>
      <c r="P2" s="1" t="s">
        <v>64</v>
      </c>
    </row>
    <row r="3" spans="1:24" hidden="1">
      <c r="P3" s="1" t="s">
        <v>56</v>
      </c>
    </row>
    <row r="4" spans="1:24" hidden="1">
      <c r="I4" s="14"/>
      <c r="P4" s="1" t="s">
        <v>56</v>
      </c>
      <c r="Q4" s="1" t="s">
        <v>380</v>
      </c>
    </row>
    <row r="5" spans="1:24" hidden="1">
      <c r="G5" s="14"/>
      <c r="I5" s="14"/>
      <c r="M5" s="14"/>
      <c r="P5" s="1" t="s">
        <v>56</v>
      </c>
    </row>
    <row r="6" spans="1:24">
      <c r="G6" s="14" t="s">
        <v>73</v>
      </c>
      <c r="I6" s="14" t="s">
        <v>73</v>
      </c>
      <c r="K6" s="56" t="s">
        <v>73</v>
      </c>
      <c r="M6" s="56" t="s">
        <v>77</v>
      </c>
      <c r="P6" s="1" t="s">
        <v>64</v>
      </c>
    </row>
    <row r="7" spans="1:24" s="4" customFormat="1" ht="12.75" customHeight="1">
      <c r="G7" s="14" t="s">
        <v>70</v>
      </c>
      <c r="I7" s="14" t="s">
        <v>72</v>
      </c>
      <c r="K7" s="15" t="s">
        <v>188</v>
      </c>
      <c r="M7" s="15" t="s">
        <v>341</v>
      </c>
      <c r="O7" s="15" t="s">
        <v>47</v>
      </c>
      <c r="P7" s="1" t="s">
        <v>64</v>
      </c>
    </row>
    <row r="8" spans="1:24">
      <c r="A8" s="25"/>
      <c r="B8" s="33"/>
      <c r="C8" s="33"/>
      <c r="D8" s="33"/>
      <c r="E8" s="33"/>
      <c r="F8" s="33"/>
      <c r="G8" s="39"/>
      <c r="H8" s="39"/>
      <c r="I8" s="39"/>
      <c r="J8" s="39"/>
      <c r="K8" s="39"/>
      <c r="L8" s="39"/>
      <c r="M8" s="39"/>
      <c r="N8" s="39"/>
      <c r="O8" s="39"/>
      <c r="P8" s="1" t="s">
        <v>64</v>
      </c>
    </row>
    <row r="9" spans="1:24" ht="15" customHeight="1">
      <c r="A9" s="25"/>
      <c r="B9" s="72">
        <v>100</v>
      </c>
      <c r="C9" s="72">
        <v>4000</v>
      </c>
      <c r="D9" s="72">
        <v>5200</v>
      </c>
      <c r="E9" s="72">
        <v>310</v>
      </c>
      <c r="F9" s="75" t="s">
        <v>54</v>
      </c>
      <c r="G9" s="39"/>
      <c r="H9" s="39"/>
      <c r="I9" s="39"/>
      <c r="J9" s="39"/>
      <c r="K9" s="76">
        <v>32763.79</v>
      </c>
      <c r="L9" s="39"/>
      <c r="M9" s="57">
        <f>+K9/EnrOld*EnrNew*Inf*50%</f>
        <v>16545.713950000001</v>
      </c>
      <c r="N9" s="57"/>
      <c r="O9" s="62" t="s">
        <v>444</v>
      </c>
      <c r="P9" s="1" t="str">
        <f>IF((K9+M9)&gt;0.49,"*","")</f>
        <v>*</v>
      </c>
      <c r="R9" s="144">
        <v>100</v>
      </c>
      <c r="S9" s="144">
        <v>4000</v>
      </c>
      <c r="T9" s="144">
        <v>5200</v>
      </c>
      <c r="U9" s="144">
        <v>310</v>
      </c>
      <c r="V9" s="138" t="s">
        <v>54</v>
      </c>
      <c r="W9" s="138" t="s">
        <v>261</v>
      </c>
      <c r="X9" s="145">
        <v>32763.79</v>
      </c>
    </row>
    <row r="10" spans="1:24" ht="15" customHeight="1">
      <c r="A10" s="25"/>
      <c r="B10" s="113">
        <v>493</v>
      </c>
      <c r="C10" s="72">
        <v>4000</v>
      </c>
      <c r="D10" s="72">
        <v>5200</v>
      </c>
      <c r="E10" s="72">
        <v>310</v>
      </c>
      <c r="F10" s="75" t="s">
        <v>54</v>
      </c>
      <c r="G10" s="39"/>
      <c r="H10" s="39"/>
      <c r="I10" s="39"/>
      <c r="J10" s="39"/>
      <c r="K10" s="76">
        <v>0</v>
      </c>
      <c r="L10" s="39"/>
      <c r="M10" s="57">
        <f>+SUM('Restart Grant'!E22:E24)</f>
        <v>19800</v>
      </c>
      <c r="N10" s="57"/>
      <c r="O10" s="62" t="s">
        <v>440</v>
      </c>
      <c r="P10" s="1" t="str">
        <f>IF((K10+M10)&gt;0.49,"*","")</f>
        <v>*</v>
      </c>
      <c r="R10" s="144"/>
      <c r="S10" s="144"/>
      <c r="T10" s="144"/>
      <c r="U10" s="144"/>
      <c r="V10" s="138"/>
      <c r="W10" s="138"/>
      <c r="X10" s="145"/>
    </row>
    <row r="11" spans="1:24" ht="13.5" customHeight="1">
      <c r="A11" s="25"/>
      <c r="B11" s="72">
        <v>100</v>
      </c>
      <c r="C11" s="72">
        <v>4000</v>
      </c>
      <c r="D11" s="72">
        <v>5200</v>
      </c>
      <c r="E11" s="72">
        <v>315</v>
      </c>
      <c r="F11" s="75" t="s">
        <v>95</v>
      </c>
      <c r="G11" s="57"/>
      <c r="H11" s="57"/>
      <c r="I11" s="39"/>
      <c r="J11" s="39"/>
      <c r="K11" s="76">
        <v>10393</v>
      </c>
      <c r="L11" s="39"/>
      <c r="M11" s="57">
        <f t="shared" ref="M9:M22" si="0">+K11/EnrOld*EnrNew*Inf</f>
        <v>10496.93</v>
      </c>
      <c r="N11" s="57"/>
      <c r="O11" s="62" t="s">
        <v>87</v>
      </c>
      <c r="P11" s="1" t="str">
        <f t="shared" ref="P11:P67" si="1">IF((K11+M11)&gt;0.49,"*","")</f>
        <v>*</v>
      </c>
      <c r="R11" s="144">
        <v>100</v>
      </c>
      <c r="S11" s="144">
        <v>4000</v>
      </c>
      <c r="T11" s="144">
        <v>5200</v>
      </c>
      <c r="U11" s="144">
        <v>315</v>
      </c>
      <c r="V11" s="138" t="s">
        <v>95</v>
      </c>
      <c r="W11" s="138" t="s">
        <v>261</v>
      </c>
      <c r="X11" s="145">
        <v>10393</v>
      </c>
    </row>
    <row r="12" spans="1:24" ht="14.4">
      <c r="A12" s="25"/>
      <c r="B12" s="72">
        <v>100</v>
      </c>
      <c r="C12" s="72">
        <v>4000</v>
      </c>
      <c r="D12" s="72">
        <v>5200</v>
      </c>
      <c r="E12" s="72">
        <v>330</v>
      </c>
      <c r="F12" s="75" t="s">
        <v>148</v>
      </c>
      <c r="G12" s="57"/>
      <c r="H12" s="57"/>
      <c r="I12" s="39"/>
      <c r="J12" s="39"/>
      <c r="K12" s="76">
        <v>200902</v>
      </c>
      <c r="L12" s="39"/>
      <c r="M12" s="57">
        <f>+K12/EnrOld*EnrNew*Inf*25%</f>
        <v>50727.754999999997</v>
      </c>
      <c r="N12" s="57"/>
      <c r="O12" s="62" t="s">
        <v>445</v>
      </c>
      <c r="P12" s="1" t="str">
        <f t="shared" si="1"/>
        <v>*</v>
      </c>
      <c r="R12" s="144">
        <v>100</v>
      </c>
      <c r="S12" s="144">
        <v>4000</v>
      </c>
      <c r="T12" s="144">
        <v>5200</v>
      </c>
      <c r="U12" s="144">
        <v>330</v>
      </c>
      <c r="V12" s="138" t="s">
        <v>148</v>
      </c>
      <c r="W12" s="138" t="s">
        <v>261</v>
      </c>
      <c r="X12" s="145">
        <v>200902</v>
      </c>
    </row>
    <row r="13" spans="1:24" ht="14.4">
      <c r="B13" s="72">
        <v>100</v>
      </c>
      <c r="C13" s="72">
        <v>4000</v>
      </c>
      <c r="D13" s="72">
        <v>5200</v>
      </c>
      <c r="E13" s="72">
        <v>390</v>
      </c>
      <c r="F13" s="75" t="s">
        <v>97</v>
      </c>
      <c r="G13" s="57"/>
      <c r="H13" s="57"/>
      <c r="I13" s="57"/>
      <c r="J13" s="64"/>
      <c r="K13" s="76">
        <v>4015.5128571428568</v>
      </c>
      <c r="L13" s="64"/>
      <c r="M13" s="57">
        <f t="shared" si="0"/>
        <v>4055.6679857142854</v>
      </c>
      <c r="N13" s="57"/>
      <c r="O13" s="62" t="s">
        <v>87</v>
      </c>
      <c r="P13" s="1" t="str">
        <f t="shared" si="1"/>
        <v>*</v>
      </c>
      <c r="R13" s="144">
        <v>100</v>
      </c>
      <c r="S13" s="144">
        <v>4000</v>
      </c>
      <c r="T13" s="144">
        <v>5200</v>
      </c>
      <c r="U13" s="144">
        <v>390</v>
      </c>
      <c r="V13" s="138" t="s">
        <v>97</v>
      </c>
      <c r="W13" s="138" t="s">
        <v>261</v>
      </c>
      <c r="X13" s="145">
        <v>4015.5128571428568</v>
      </c>
    </row>
    <row r="14" spans="1:24" ht="14.4">
      <c r="A14" s="25"/>
      <c r="B14" s="72">
        <v>100</v>
      </c>
      <c r="C14" s="72">
        <v>4000</v>
      </c>
      <c r="D14" s="72">
        <v>5200</v>
      </c>
      <c r="E14" s="72">
        <v>510</v>
      </c>
      <c r="F14" s="75" t="s">
        <v>98</v>
      </c>
      <c r="G14" s="39"/>
      <c r="H14" s="39"/>
      <c r="I14" s="39"/>
      <c r="J14" s="39"/>
      <c r="K14" s="76">
        <v>107981.895</v>
      </c>
      <c r="L14" s="39"/>
      <c r="M14" s="57">
        <f t="shared" si="0"/>
        <v>109061.71395</v>
      </c>
      <c r="N14" s="57"/>
      <c r="O14" s="62" t="s">
        <v>87</v>
      </c>
      <c r="P14" s="1" t="str">
        <f t="shared" si="1"/>
        <v>*</v>
      </c>
      <c r="R14" s="144">
        <v>100</v>
      </c>
      <c r="S14" s="144">
        <v>4000</v>
      </c>
      <c r="T14" s="144">
        <v>5200</v>
      </c>
      <c r="U14" s="144">
        <v>510</v>
      </c>
      <c r="V14" s="138" t="s">
        <v>98</v>
      </c>
      <c r="W14" s="138" t="s">
        <v>261</v>
      </c>
      <c r="X14" s="145">
        <v>107981.895</v>
      </c>
    </row>
    <row r="15" spans="1:24" ht="14.4" hidden="1">
      <c r="A15" s="25"/>
      <c r="B15" s="72">
        <v>100</v>
      </c>
      <c r="C15" s="72">
        <v>4000</v>
      </c>
      <c r="D15" s="72">
        <v>5200</v>
      </c>
      <c r="E15" s="72">
        <v>640</v>
      </c>
      <c r="F15" s="75" t="s">
        <v>173</v>
      </c>
      <c r="G15" s="39"/>
      <c r="H15" s="39"/>
      <c r="I15" s="39"/>
      <c r="J15" s="39"/>
      <c r="K15" s="76"/>
      <c r="L15" s="39"/>
      <c r="M15" s="57">
        <f t="shared" si="0"/>
        <v>0</v>
      </c>
      <c r="N15" s="57"/>
      <c r="O15" s="62" t="s">
        <v>87</v>
      </c>
      <c r="P15" s="1" t="str">
        <f t="shared" si="1"/>
        <v/>
      </c>
      <c r="R15" s="144"/>
      <c r="S15" s="144"/>
      <c r="T15" s="144"/>
      <c r="U15" s="144"/>
      <c r="V15" s="138"/>
      <c r="W15" s="138"/>
      <c r="X15" s="145"/>
    </row>
    <row r="16" spans="1:24" ht="14.4">
      <c r="A16" s="25"/>
      <c r="B16" s="72">
        <v>100</v>
      </c>
      <c r="C16" s="72">
        <v>4000</v>
      </c>
      <c r="D16" s="72">
        <v>5200</v>
      </c>
      <c r="E16" s="72">
        <v>642</v>
      </c>
      <c r="F16" s="75" t="s">
        <v>142</v>
      </c>
      <c r="G16" s="39"/>
      <c r="H16" s="39"/>
      <c r="I16" s="39"/>
      <c r="J16" s="39"/>
      <c r="K16" s="76">
        <v>7583</v>
      </c>
      <c r="L16" s="39"/>
      <c r="M16" s="57">
        <f t="shared" si="0"/>
        <v>7658.83</v>
      </c>
      <c r="N16" s="57"/>
      <c r="O16" s="62" t="s">
        <v>87</v>
      </c>
      <c r="P16" s="1" t="str">
        <f t="shared" si="1"/>
        <v>*</v>
      </c>
      <c r="R16" s="144">
        <v>100</v>
      </c>
      <c r="S16" s="144">
        <v>4000</v>
      </c>
      <c r="T16" s="144">
        <v>5200</v>
      </c>
      <c r="U16" s="144">
        <v>642</v>
      </c>
      <c r="V16" s="138" t="s">
        <v>205</v>
      </c>
      <c r="W16" s="138" t="s">
        <v>261</v>
      </c>
      <c r="X16" s="145">
        <v>7583</v>
      </c>
    </row>
    <row r="17" spans="1:24" ht="14.4">
      <c r="A17" s="25"/>
      <c r="B17" s="72">
        <v>100</v>
      </c>
      <c r="C17" s="72">
        <v>4000</v>
      </c>
      <c r="D17" s="72">
        <v>5200</v>
      </c>
      <c r="E17" s="72">
        <v>730</v>
      </c>
      <c r="F17" s="75" t="s">
        <v>102</v>
      </c>
      <c r="G17" s="39">
        <v>0</v>
      </c>
      <c r="H17" s="39">
        <v>220</v>
      </c>
      <c r="I17" s="39"/>
      <c r="J17" s="39"/>
      <c r="K17" s="76">
        <v>222</v>
      </c>
      <c r="L17" s="39"/>
      <c r="M17" s="57">
        <f t="shared" si="0"/>
        <v>224.22</v>
      </c>
      <c r="N17" s="57"/>
      <c r="O17" s="62" t="s">
        <v>87</v>
      </c>
      <c r="P17" s="1" t="str">
        <f t="shared" si="1"/>
        <v>*</v>
      </c>
      <c r="R17" s="144">
        <v>100</v>
      </c>
      <c r="S17" s="144">
        <v>4000</v>
      </c>
      <c r="T17" s="144">
        <v>5200</v>
      </c>
      <c r="U17" s="144">
        <v>730</v>
      </c>
      <c r="V17" s="138" t="s">
        <v>102</v>
      </c>
      <c r="W17" s="138" t="s">
        <v>261</v>
      </c>
      <c r="X17" s="145">
        <v>222</v>
      </c>
    </row>
    <row r="18" spans="1:24" ht="14.4">
      <c r="A18" s="25"/>
      <c r="B18" s="72">
        <v>100</v>
      </c>
      <c r="C18" s="72">
        <v>4000</v>
      </c>
      <c r="D18" s="72">
        <v>6130</v>
      </c>
      <c r="E18" s="72">
        <v>310</v>
      </c>
      <c r="F18" s="75" t="s">
        <v>54</v>
      </c>
      <c r="G18" s="39"/>
      <c r="H18" s="39"/>
      <c r="I18" s="39"/>
      <c r="J18" s="39"/>
      <c r="K18" s="76">
        <v>960</v>
      </c>
      <c r="L18" s="39"/>
      <c r="M18" s="57">
        <f t="shared" si="0"/>
        <v>969.6</v>
      </c>
      <c r="N18" s="57"/>
      <c r="O18" s="62" t="s">
        <v>87</v>
      </c>
      <c r="P18" s="1" t="str">
        <f t="shared" si="1"/>
        <v>*</v>
      </c>
      <c r="R18" s="146">
        <v>100</v>
      </c>
      <c r="S18" s="146">
        <v>4000</v>
      </c>
      <c r="T18" s="146">
        <v>6130</v>
      </c>
      <c r="U18" s="146">
        <v>310</v>
      </c>
      <c r="V18" s="141" t="s">
        <v>54</v>
      </c>
      <c r="W18" s="141" t="s">
        <v>275</v>
      </c>
      <c r="X18" s="140">
        <v>960</v>
      </c>
    </row>
    <row r="19" spans="1:24" ht="14.4">
      <c r="A19" s="31"/>
      <c r="B19" s="72">
        <v>100</v>
      </c>
      <c r="C19" s="72">
        <v>4000</v>
      </c>
      <c r="D19" s="72">
        <v>6140</v>
      </c>
      <c r="E19" s="72">
        <v>310</v>
      </c>
      <c r="F19" s="75" t="s">
        <v>218</v>
      </c>
      <c r="G19" s="39">
        <v>0</v>
      </c>
      <c r="H19" s="39">
        <v>1418.98</v>
      </c>
      <c r="I19" s="57"/>
      <c r="J19" s="57"/>
      <c r="K19" s="76">
        <v>1433</v>
      </c>
      <c r="L19" s="57"/>
      <c r="M19" s="57">
        <f t="shared" si="0"/>
        <v>1447.33</v>
      </c>
      <c r="N19" s="57"/>
      <c r="O19" s="62" t="s">
        <v>87</v>
      </c>
      <c r="P19" s="1" t="str">
        <f t="shared" si="1"/>
        <v>*</v>
      </c>
      <c r="R19" s="146">
        <v>100</v>
      </c>
      <c r="S19" s="146">
        <v>4000</v>
      </c>
      <c r="T19" s="146">
        <v>6140</v>
      </c>
      <c r="U19" s="146">
        <v>310</v>
      </c>
      <c r="V19" s="141" t="s">
        <v>206</v>
      </c>
      <c r="W19" s="141" t="s">
        <v>275</v>
      </c>
      <c r="X19" s="140">
        <v>1433</v>
      </c>
    </row>
    <row r="20" spans="1:24" ht="14.4">
      <c r="A20" s="31"/>
      <c r="B20" s="72">
        <v>100</v>
      </c>
      <c r="C20" s="72">
        <v>4000</v>
      </c>
      <c r="D20" s="72">
        <v>6300</v>
      </c>
      <c r="E20" s="72">
        <v>590</v>
      </c>
      <c r="F20" s="75" t="s">
        <v>207</v>
      </c>
      <c r="G20" s="39">
        <v>0</v>
      </c>
      <c r="H20" s="39">
        <v>810</v>
      </c>
      <c r="I20" s="57"/>
      <c r="J20" s="57"/>
      <c r="K20" s="76">
        <v>818</v>
      </c>
      <c r="L20" s="57"/>
      <c r="M20" s="57">
        <f t="shared" si="0"/>
        <v>826.17999999999984</v>
      </c>
      <c r="N20" s="57"/>
      <c r="O20" s="62" t="s">
        <v>87</v>
      </c>
      <c r="P20" s="1" t="str">
        <f t="shared" si="1"/>
        <v>*</v>
      </c>
      <c r="R20" s="146">
        <v>100</v>
      </c>
      <c r="S20" s="146">
        <v>4000</v>
      </c>
      <c r="T20" s="146">
        <v>6300</v>
      </c>
      <c r="U20" s="146">
        <v>590</v>
      </c>
      <c r="V20" s="141" t="s">
        <v>207</v>
      </c>
      <c r="W20" s="141" t="s">
        <v>284</v>
      </c>
      <c r="X20" s="140">
        <v>818</v>
      </c>
    </row>
    <row r="21" spans="1:24" ht="14.4">
      <c r="A21" s="31"/>
      <c r="B21" s="72">
        <v>100</v>
      </c>
      <c r="C21" s="72">
        <v>4000</v>
      </c>
      <c r="D21" s="72">
        <v>6400</v>
      </c>
      <c r="E21" s="72">
        <v>310</v>
      </c>
      <c r="F21" s="75" t="s">
        <v>125</v>
      </c>
      <c r="G21" s="39">
        <v>0</v>
      </c>
      <c r="H21" s="39">
        <v>500</v>
      </c>
      <c r="I21" s="57"/>
      <c r="J21" s="57"/>
      <c r="K21" s="76">
        <v>505</v>
      </c>
      <c r="L21" s="57"/>
      <c r="M21" s="57">
        <f t="shared" si="0"/>
        <v>510.04999999999995</v>
      </c>
      <c r="N21" s="57"/>
      <c r="O21" s="62" t="s">
        <v>87</v>
      </c>
      <c r="P21" s="1" t="str">
        <f t="shared" si="1"/>
        <v>*</v>
      </c>
      <c r="R21" s="144">
        <v>100</v>
      </c>
      <c r="S21" s="144">
        <v>4000</v>
      </c>
      <c r="T21" s="144">
        <v>6400</v>
      </c>
      <c r="U21" s="144">
        <v>310</v>
      </c>
      <c r="V21" s="138" t="s">
        <v>125</v>
      </c>
      <c r="W21" s="138" t="s">
        <v>286</v>
      </c>
      <c r="X21" s="145">
        <v>505</v>
      </c>
    </row>
    <row r="22" spans="1:24" ht="14.4">
      <c r="A22" s="31"/>
      <c r="B22" s="72">
        <v>100</v>
      </c>
      <c r="C22" s="72">
        <v>4000</v>
      </c>
      <c r="D22" s="72">
        <v>6500</v>
      </c>
      <c r="E22" s="72">
        <v>310</v>
      </c>
      <c r="F22" s="75" t="s">
        <v>100</v>
      </c>
      <c r="G22" s="57"/>
      <c r="H22" s="57"/>
      <c r="I22" s="57"/>
      <c r="J22" s="57"/>
      <c r="K22" s="76">
        <v>937</v>
      </c>
      <c r="L22" s="57"/>
      <c r="M22" s="57">
        <f t="shared" si="0"/>
        <v>946.36999999999989</v>
      </c>
      <c r="N22" s="57"/>
      <c r="O22" s="62" t="s">
        <v>87</v>
      </c>
      <c r="P22" s="1" t="str">
        <f t="shared" si="1"/>
        <v>*</v>
      </c>
      <c r="R22" s="144">
        <v>100</v>
      </c>
      <c r="S22" s="144">
        <v>4000</v>
      </c>
      <c r="T22" s="144">
        <v>6500</v>
      </c>
      <c r="U22" s="144">
        <v>310</v>
      </c>
      <c r="V22" s="138" t="s">
        <v>100</v>
      </c>
      <c r="W22" s="138" t="s">
        <v>288</v>
      </c>
      <c r="X22" s="145">
        <v>937</v>
      </c>
    </row>
    <row r="23" spans="1:24" ht="15" customHeight="1">
      <c r="A23" s="25"/>
      <c r="B23" s="113">
        <v>493</v>
      </c>
      <c r="C23" s="72">
        <v>4000</v>
      </c>
      <c r="D23" s="72">
        <v>6500</v>
      </c>
      <c r="E23" s="72">
        <v>310</v>
      </c>
      <c r="F23" s="75" t="s">
        <v>100</v>
      </c>
      <c r="G23" s="39"/>
      <c r="H23" s="39"/>
      <c r="I23" s="39"/>
      <c r="J23" s="39"/>
      <c r="K23" s="76">
        <v>0</v>
      </c>
      <c r="L23" s="39"/>
      <c r="M23" s="57">
        <f>+SUM('Restart Grant'!E9:E11)</f>
        <v>10700</v>
      </c>
      <c r="N23" s="57"/>
      <c r="O23" s="62" t="s">
        <v>440</v>
      </c>
      <c r="P23" s="1" t="str">
        <f>IF((K23+M23)&gt;0.49,"*","")</f>
        <v>*</v>
      </c>
      <c r="R23" s="144"/>
      <c r="S23" s="144"/>
      <c r="T23" s="144"/>
      <c r="U23" s="144"/>
      <c r="V23" s="138"/>
      <c r="W23" s="138"/>
      <c r="X23" s="145"/>
    </row>
    <row r="24" spans="1:24" ht="14.4">
      <c r="A24" s="25"/>
      <c r="B24" s="72">
        <v>100</v>
      </c>
      <c r="C24" s="72">
        <v>4000</v>
      </c>
      <c r="D24" s="72">
        <v>7100</v>
      </c>
      <c r="E24" s="72">
        <v>310</v>
      </c>
      <c r="F24" s="75" t="s">
        <v>101</v>
      </c>
      <c r="G24" s="39"/>
      <c r="H24" s="39"/>
      <c r="I24" s="39"/>
      <c r="J24" s="39"/>
      <c r="K24" s="76">
        <v>8399</v>
      </c>
      <c r="L24" s="39"/>
      <c r="M24" s="39">
        <f>+K24*Inf</f>
        <v>8482.99</v>
      </c>
      <c r="N24" s="39"/>
      <c r="O24" s="49" t="s">
        <v>88</v>
      </c>
      <c r="P24" s="1" t="str">
        <f t="shared" si="1"/>
        <v>*</v>
      </c>
      <c r="R24" s="144">
        <v>100</v>
      </c>
      <c r="S24" s="144">
        <v>4000</v>
      </c>
      <c r="T24" s="144">
        <v>7100</v>
      </c>
      <c r="U24" s="144">
        <v>310</v>
      </c>
      <c r="V24" s="138" t="s">
        <v>101</v>
      </c>
      <c r="W24" s="138" t="s">
        <v>290</v>
      </c>
      <c r="X24" s="145">
        <v>8399</v>
      </c>
    </row>
    <row r="25" spans="1:24" ht="14.4" hidden="1">
      <c r="A25" s="25"/>
      <c r="B25" s="72">
        <v>100</v>
      </c>
      <c r="C25" s="72">
        <v>4000</v>
      </c>
      <c r="D25" s="72">
        <v>7100</v>
      </c>
      <c r="E25" s="78">
        <v>320</v>
      </c>
      <c r="F25" s="79" t="s">
        <v>141</v>
      </c>
      <c r="G25" s="57"/>
      <c r="H25" s="57"/>
      <c r="I25" s="57"/>
      <c r="J25" s="57"/>
      <c r="K25" s="80"/>
      <c r="L25" s="57"/>
      <c r="M25" s="57">
        <v>0</v>
      </c>
      <c r="N25" s="57"/>
      <c r="O25" s="62" t="s">
        <v>214</v>
      </c>
      <c r="P25" s="1" t="str">
        <f t="shared" si="1"/>
        <v/>
      </c>
      <c r="R25" s="144"/>
      <c r="S25" s="144"/>
      <c r="T25" s="144"/>
      <c r="U25" s="144"/>
      <c r="V25" s="138"/>
      <c r="W25" s="138"/>
      <c r="X25" s="145"/>
    </row>
    <row r="26" spans="1:24" ht="14.4">
      <c r="A26" s="25"/>
      <c r="B26" s="72">
        <v>100</v>
      </c>
      <c r="C26" s="72">
        <v>4000</v>
      </c>
      <c r="D26" s="72">
        <v>7100</v>
      </c>
      <c r="E26" s="78">
        <v>330</v>
      </c>
      <c r="F26" s="79" t="s">
        <v>103</v>
      </c>
      <c r="G26" s="57"/>
      <c r="H26" s="57"/>
      <c r="I26" s="57"/>
      <c r="J26" s="57"/>
      <c r="K26" s="80">
        <v>2067</v>
      </c>
      <c r="L26" s="57"/>
      <c r="M26" s="57">
        <f>+K26*Inf</f>
        <v>2087.67</v>
      </c>
      <c r="N26" s="57"/>
      <c r="O26" s="62" t="s">
        <v>88</v>
      </c>
      <c r="P26" s="1" t="str">
        <f t="shared" si="1"/>
        <v>*</v>
      </c>
      <c r="R26" s="144">
        <v>100</v>
      </c>
      <c r="S26" s="144">
        <v>4000</v>
      </c>
      <c r="T26" s="144">
        <v>7100</v>
      </c>
      <c r="U26" s="144">
        <v>330</v>
      </c>
      <c r="V26" s="138" t="s">
        <v>103</v>
      </c>
      <c r="W26" s="138" t="s">
        <v>290</v>
      </c>
      <c r="X26" s="145">
        <v>2067</v>
      </c>
    </row>
    <row r="27" spans="1:24" ht="14.4">
      <c r="A27" s="25"/>
      <c r="B27" s="72">
        <v>100</v>
      </c>
      <c r="C27" s="72">
        <v>4000</v>
      </c>
      <c r="D27" s="72">
        <v>7100</v>
      </c>
      <c r="E27" s="78">
        <v>730</v>
      </c>
      <c r="F27" s="79" t="s">
        <v>102</v>
      </c>
      <c r="G27" s="57"/>
      <c r="H27" s="57"/>
      <c r="I27" s="57"/>
      <c r="J27" s="57"/>
      <c r="K27" s="80">
        <v>14921</v>
      </c>
      <c r="L27" s="57"/>
      <c r="M27" s="57">
        <f>+K27*Inf</f>
        <v>15070.210000000001</v>
      </c>
      <c r="N27" s="57"/>
      <c r="O27" s="62" t="s">
        <v>88</v>
      </c>
      <c r="P27" s="1" t="str">
        <f t="shared" si="1"/>
        <v>*</v>
      </c>
      <c r="R27" s="144">
        <v>100</v>
      </c>
      <c r="S27" s="144">
        <v>4000</v>
      </c>
      <c r="T27" s="144">
        <v>7100</v>
      </c>
      <c r="U27" s="144">
        <v>730</v>
      </c>
      <c r="V27" s="138" t="s">
        <v>102</v>
      </c>
      <c r="W27" s="138" t="s">
        <v>290</v>
      </c>
      <c r="X27" s="145">
        <v>14921</v>
      </c>
    </row>
    <row r="28" spans="1:24" ht="14.4">
      <c r="A28" s="25"/>
      <c r="B28" s="72">
        <v>100</v>
      </c>
      <c r="C28" s="72">
        <v>4000</v>
      </c>
      <c r="D28" s="72">
        <v>7100</v>
      </c>
      <c r="E28" s="78">
        <v>790</v>
      </c>
      <c r="F28" s="79" t="s">
        <v>55</v>
      </c>
      <c r="G28" s="57"/>
      <c r="H28" s="57"/>
      <c r="I28" s="57"/>
      <c r="J28" s="57"/>
      <c r="K28" s="80">
        <v>21121</v>
      </c>
      <c r="L28" s="57"/>
      <c r="M28" s="57">
        <f>+K28</f>
        <v>21121</v>
      </c>
      <c r="N28" s="57"/>
      <c r="O28" s="126" t="s">
        <v>189</v>
      </c>
      <c r="P28" s="1" t="str">
        <f t="shared" si="1"/>
        <v>*</v>
      </c>
      <c r="R28" s="146">
        <v>100</v>
      </c>
      <c r="S28" s="146">
        <v>4000</v>
      </c>
      <c r="T28" s="146">
        <v>7100</v>
      </c>
      <c r="U28" s="146">
        <v>790</v>
      </c>
      <c r="V28" s="141" t="s">
        <v>55</v>
      </c>
      <c r="W28" s="141" t="s">
        <v>290</v>
      </c>
      <c r="X28" s="140">
        <v>21121</v>
      </c>
    </row>
    <row r="29" spans="1:24" ht="14.4">
      <c r="A29" s="25"/>
      <c r="B29" s="72">
        <v>100</v>
      </c>
      <c r="C29" s="72">
        <v>4000</v>
      </c>
      <c r="D29" s="72">
        <v>7100</v>
      </c>
      <c r="E29" s="78">
        <v>795</v>
      </c>
      <c r="F29" s="79" t="s">
        <v>208</v>
      </c>
      <c r="G29" s="57">
        <v>0</v>
      </c>
      <c r="H29" s="57">
        <v>31</v>
      </c>
      <c r="I29" s="57"/>
      <c r="J29" s="57"/>
      <c r="K29" s="80">
        <v>65</v>
      </c>
      <c r="L29" s="57"/>
      <c r="M29" s="57">
        <f t="shared" ref="M29:M36" si="2">+K29*Inf</f>
        <v>65.650000000000006</v>
      </c>
      <c r="N29" s="57"/>
      <c r="O29" s="62" t="s">
        <v>88</v>
      </c>
      <c r="P29" s="1" t="str">
        <f t="shared" si="1"/>
        <v>*</v>
      </c>
      <c r="R29" s="144">
        <v>100</v>
      </c>
      <c r="S29" s="144">
        <v>4000</v>
      </c>
      <c r="T29" s="144">
        <v>7100</v>
      </c>
      <c r="U29" s="144">
        <v>795</v>
      </c>
      <c r="V29" s="138" t="s">
        <v>208</v>
      </c>
      <c r="W29" s="138" t="s">
        <v>290</v>
      </c>
      <c r="X29" s="145">
        <v>65</v>
      </c>
    </row>
    <row r="30" spans="1:24" ht="14.4">
      <c r="A30" s="25"/>
      <c r="B30" s="72">
        <v>100</v>
      </c>
      <c r="C30" s="72">
        <v>4000</v>
      </c>
      <c r="D30" s="72">
        <v>7300</v>
      </c>
      <c r="E30" s="78">
        <v>330</v>
      </c>
      <c r="F30" s="79" t="s">
        <v>103</v>
      </c>
      <c r="G30" s="57"/>
      <c r="H30" s="57"/>
      <c r="I30" s="57"/>
      <c r="J30" s="57"/>
      <c r="K30" s="80">
        <v>4509</v>
      </c>
      <c r="L30" s="57"/>
      <c r="M30" s="57">
        <f t="shared" si="2"/>
        <v>4554.09</v>
      </c>
      <c r="N30" s="57"/>
      <c r="O30" s="62" t="s">
        <v>88</v>
      </c>
      <c r="P30" s="1" t="str">
        <f t="shared" si="1"/>
        <v>*</v>
      </c>
      <c r="R30" s="146">
        <v>100</v>
      </c>
      <c r="S30" s="146">
        <v>4000</v>
      </c>
      <c r="T30" s="146">
        <v>7300</v>
      </c>
      <c r="U30" s="146">
        <v>330</v>
      </c>
      <c r="V30" s="141" t="s">
        <v>103</v>
      </c>
      <c r="W30" s="141" t="s">
        <v>296</v>
      </c>
      <c r="X30" s="140">
        <v>4509</v>
      </c>
    </row>
    <row r="31" spans="1:24" ht="14.4">
      <c r="A31" s="25"/>
      <c r="B31" s="72">
        <v>100</v>
      </c>
      <c r="C31" s="72">
        <v>4000</v>
      </c>
      <c r="D31" s="72">
        <v>7300</v>
      </c>
      <c r="E31" s="78">
        <v>370</v>
      </c>
      <c r="F31" s="79" t="s">
        <v>104</v>
      </c>
      <c r="G31" s="57"/>
      <c r="H31" s="57"/>
      <c r="I31" s="57"/>
      <c r="J31" s="57"/>
      <c r="K31" s="80">
        <v>840</v>
      </c>
      <c r="L31" s="57"/>
      <c r="M31" s="57">
        <f t="shared" si="2"/>
        <v>848.4</v>
      </c>
      <c r="N31" s="57"/>
      <c r="O31" s="62" t="s">
        <v>88</v>
      </c>
      <c r="P31" s="1" t="str">
        <f t="shared" si="1"/>
        <v>*</v>
      </c>
      <c r="R31" s="144">
        <v>100</v>
      </c>
      <c r="S31" s="144">
        <v>4000</v>
      </c>
      <c r="T31" s="144">
        <v>7300</v>
      </c>
      <c r="U31" s="144">
        <v>370</v>
      </c>
      <c r="V31" s="138" t="s">
        <v>104</v>
      </c>
      <c r="W31" s="138" t="s">
        <v>296</v>
      </c>
      <c r="X31" s="145">
        <v>840</v>
      </c>
    </row>
    <row r="32" spans="1:24" ht="14.4">
      <c r="A32" s="25"/>
      <c r="B32" s="72">
        <v>100</v>
      </c>
      <c r="C32" s="72">
        <v>4000</v>
      </c>
      <c r="D32" s="72">
        <v>7300</v>
      </c>
      <c r="E32" s="78">
        <v>390</v>
      </c>
      <c r="F32" s="79" t="s">
        <v>105</v>
      </c>
      <c r="G32" s="57"/>
      <c r="H32" s="57"/>
      <c r="I32" s="57"/>
      <c r="J32" s="57"/>
      <c r="K32" s="80">
        <v>1566</v>
      </c>
      <c r="L32" s="57"/>
      <c r="M32" s="57">
        <f t="shared" si="2"/>
        <v>1581.66</v>
      </c>
      <c r="N32" s="57"/>
      <c r="O32" s="62" t="s">
        <v>88</v>
      </c>
      <c r="P32" s="1" t="str">
        <f t="shared" si="1"/>
        <v>*</v>
      </c>
      <c r="R32" s="144">
        <v>100</v>
      </c>
      <c r="S32" s="144">
        <v>4000</v>
      </c>
      <c r="T32" s="144">
        <v>7300</v>
      </c>
      <c r="U32" s="144">
        <v>390</v>
      </c>
      <c r="V32" s="138" t="s">
        <v>105</v>
      </c>
      <c r="W32" s="138" t="s">
        <v>296</v>
      </c>
      <c r="X32" s="145">
        <v>1566</v>
      </c>
    </row>
    <row r="33" spans="1:24" ht="14.4">
      <c r="A33" s="25"/>
      <c r="B33" s="72">
        <v>100</v>
      </c>
      <c r="C33" s="72">
        <v>4000</v>
      </c>
      <c r="D33" s="72">
        <v>7300</v>
      </c>
      <c r="E33" s="78">
        <v>510</v>
      </c>
      <c r="F33" s="79" t="s">
        <v>106</v>
      </c>
      <c r="G33" s="57"/>
      <c r="H33" s="57"/>
      <c r="I33" s="57"/>
      <c r="J33" s="57"/>
      <c r="K33" s="80">
        <v>1684</v>
      </c>
      <c r="L33" s="57"/>
      <c r="M33" s="57">
        <f t="shared" si="2"/>
        <v>1700.84</v>
      </c>
      <c r="N33" s="57"/>
      <c r="O33" s="62" t="s">
        <v>88</v>
      </c>
      <c r="P33" s="1" t="str">
        <f t="shared" si="1"/>
        <v>*</v>
      </c>
      <c r="R33" s="144">
        <v>100</v>
      </c>
      <c r="S33" s="144">
        <v>4000</v>
      </c>
      <c r="T33" s="144">
        <v>7300</v>
      </c>
      <c r="U33" s="144">
        <v>510</v>
      </c>
      <c r="V33" s="138" t="s">
        <v>106</v>
      </c>
      <c r="W33" s="138" t="s">
        <v>296</v>
      </c>
      <c r="X33" s="145">
        <v>1684</v>
      </c>
    </row>
    <row r="34" spans="1:24" ht="14.4" hidden="1">
      <c r="A34" s="25"/>
      <c r="B34" s="72">
        <v>100</v>
      </c>
      <c r="C34" s="72">
        <v>4000</v>
      </c>
      <c r="D34" s="72">
        <v>7300</v>
      </c>
      <c r="E34" s="78">
        <v>642</v>
      </c>
      <c r="F34" s="79" t="s">
        <v>176</v>
      </c>
      <c r="G34" s="57"/>
      <c r="H34" s="57"/>
      <c r="I34" s="57"/>
      <c r="J34" s="57"/>
      <c r="K34" s="80"/>
      <c r="L34" s="57"/>
      <c r="M34" s="57">
        <f t="shared" si="2"/>
        <v>0</v>
      </c>
      <c r="N34" s="57"/>
      <c r="O34" s="62"/>
      <c r="P34" s="1" t="str">
        <f t="shared" si="1"/>
        <v/>
      </c>
      <c r="R34" s="144"/>
      <c r="S34" s="144"/>
      <c r="T34" s="144"/>
      <c r="U34" s="144"/>
      <c r="V34" s="138"/>
      <c r="W34" s="138"/>
      <c r="X34" s="145"/>
    </row>
    <row r="35" spans="1:24" ht="14.4" hidden="1">
      <c r="A35" s="25"/>
      <c r="B35" s="72">
        <v>100</v>
      </c>
      <c r="C35" s="72">
        <v>4000</v>
      </c>
      <c r="D35" s="72">
        <v>7300</v>
      </c>
      <c r="E35" s="78">
        <v>643</v>
      </c>
      <c r="F35" s="79" t="s">
        <v>99</v>
      </c>
      <c r="G35" s="57"/>
      <c r="H35" s="57"/>
      <c r="I35" s="57"/>
      <c r="J35" s="57"/>
      <c r="K35" s="80"/>
      <c r="L35" s="57"/>
      <c r="M35" s="57">
        <f t="shared" si="2"/>
        <v>0</v>
      </c>
      <c r="N35" s="57"/>
      <c r="O35" s="62"/>
      <c r="P35" s="1" t="str">
        <f t="shared" si="1"/>
        <v/>
      </c>
      <c r="R35" s="144"/>
      <c r="S35" s="144"/>
      <c r="T35" s="144"/>
      <c r="U35" s="144"/>
      <c r="V35" s="138"/>
      <c r="W35" s="138"/>
      <c r="X35" s="145"/>
    </row>
    <row r="36" spans="1:24" ht="14.4">
      <c r="A36" s="25"/>
      <c r="B36" s="72">
        <v>100</v>
      </c>
      <c r="C36" s="72">
        <v>4000</v>
      </c>
      <c r="D36" s="72">
        <v>7300</v>
      </c>
      <c r="E36" s="72">
        <v>690</v>
      </c>
      <c r="F36" s="75" t="s">
        <v>209</v>
      </c>
      <c r="G36" s="39">
        <v>0</v>
      </c>
      <c r="H36" s="39">
        <v>149.99</v>
      </c>
      <c r="I36" s="39"/>
      <c r="J36" s="39"/>
      <c r="K36" s="76">
        <v>151</v>
      </c>
      <c r="L36" s="39"/>
      <c r="M36" s="39">
        <f t="shared" si="2"/>
        <v>152.51</v>
      </c>
      <c r="N36" s="39"/>
      <c r="O36" s="49" t="s">
        <v>88</v>
      </c>
      <c r="P36" s="1" t="str">
        <f t="shared" si="1"/>
        <v>*</v>
      </c>
      <c r="R36" s="144">
        <v>100</v>
      </c>
      <c r="S36" s="144">
        <v>4000</v>
      </c>
      <c r="T36" s="144">
        <v>7300</v>
      </c>
      <c r="U36" s="144">
        <v>690</v>
      </c>
      <c r="V36" s="138" t="s">
        <v>209</v>
      </c>
      <c r="W36" s="138" t="s">
        <v>296</v>
      </c>
      <c r="X36" s="145">
        <v>151</v>
      </c>
    </row>
    <row r="37" spans="1:24" ht="14.4">
      <c r="A37" s="25"/>
      <c r="B37" s="72">
        <v>100</v>
      </c>
      <c r="C37" s="72">
        <v>4000</v>
      </c>
      <c r="D37" s="72">
        <v>7400</v>
      </c>
      <c r="E37" s="72">
        <v>630</v>
      </c>
      <c r="F37" s="75" t="s">
        <v>107</v>
      </c>
      <c r="G37" s="39"/>
      <c r="H37" s="39"/>
      <c r="I37" s="39"/>
      <c r="J37" s="39"/>
      <c r="K37" s="76">
        <v>15503.38</v>
      </c>
      <c r="L37" s="39"/>
      <c r="M37" s="39">
        <f t="shared" ref="M37" si="3">+K37*Inf</f>
        <v>15658.413799999998</v>
      </c>
      <c r="N37" s="39"/>
      <c r="O37" s="49" t="s">
        <v>88</v>
      </c>
      <c r="P37" s="1" t="str">
        <f t="shared" si="1"/>
        <v>*</v>
      </c>
      <c r="R37" s="146">
        <v>100</v>
      </c>
      <c r="S37" s="146">
        <v>4000</v>
      </c>
      <c r="T37" s="146">
        <v>7400</v>
      </c>
      <c r="U37" s="146">
        <v>630</v>
      </c>
      <c r="V37" s="141" t="s">
        <v>107</v>
      </c>
      <c r="W37" s="141" t="s">
        <v>309</v>
      </c>
      <c r="X37" s="140">
        <v>15503.38</v>
      </c>
    </row>
    <row r="38" spans="1:24" ht="14.4">
      <c r="A38" s="25"/>
      <c r="B38" s="72">
        <v>100</v>
      </c>
      <c r="C38" s="72">
        <v>4000</v>
      </c>
      <c r="D38" s="72">
        <v>7500</v>
      </c>
      <c r="E38" s="72">
        <v>310</v>
      </c>
      <c r="F38" s="75" t="s">
        <v>108</v>
      </c>
      <c r="G38" s="39"/>
      <c r="H38" s="39"/>
      <c r="I38" s="39"/>
      <c r="J38" s="39"/>
      <c r="K38" s="76">
        <v>21287.13</v>
      </c>
      <c r="L38" s="39"/>
      <c r="M38" s="119">
        <f>0.03*('Rev Input'!J10-'Expense Input'!M28)</f>
        <v>21287.13</v>
      </c>
      <c r="N38" s="39"/>
      <c r="O38" s="49" t="s">
        <v>174</v>
      </c>
      <c r="P38" s="1" t="str">
        <f t="shared" si="1"/>
        <v>*</v>
      </c>
      <c r="R38" s="146">
        <v>100</v>
      </c>
      <c r="S38" s="146">
        <v>4000</v>
      </c>
      <c r="T38" s="146">
        <v>7500</v>
      </c>
      <c r="U38" s="146">
        <v>310</v>
      </c>
      <c r="V38" s="141" t="s">
        <v>108</v>
      </c>
      <c r="W38" s="141" t="s">
        <v>311</v>
      </c>
      <c r="X38" s="140">
        <v>21287.13</v>
      </c>
    </row>
    <row r="39" spans="1:24" ht="15" customHeight="1">
      <c r="A39" s="25"/>
      <c r="B39" s="113">
        <v>493</v>
      </c>
      <c r="C39" s="72">
        <v>4000</v>
      </c>
      <c r="D39" s="72">
        <v>7500</v>
      </c>
      <c r="E39" s="72">
        <v>310</v>
      </c>
      <c r="F39" s="75" t="s">
        <v>108</v>
      </c>
      <c r="G39" s="39"/>
      <c r="H39" s="39"/>
      <c r="I39" s="39"/>
      <c r="J39" s="39"/>
      <c r="K39" s="76">
        <v>0</v>
      </c>
      <c r="L39" s="39"/>
      <c r="M39" s="57">
        <f>SUM('Restart Grant'!E13)</f>
        <v>6374.6796000000004</v>
      </c>
      <c r="N39" s="57"/>
      <c r="O39" s="62" t="s">
        <v>440</v>
      </c>
      <c r="P39" s="1" t="str">
        <f>IF((K39+M39)&gt;0.49,"*","")</f>
        <v>*</v>
      </c>
      <c r="R39" s="144"/>
      <c r="S39" s="144"/>
      <c r="T39" s="144"/>
      <c r="U39" s="144"/>
      <c r="V39" s="138"/>
      <c r="W39" s="138"/>
      <c r="X39" s="145"/>
    </row>
    <row r="40" spans="1:24" ht="14.4">
      <c r="A40" s="25"/>
      <c r="B40" s="72">
        <v>100</v>
      </c>
      <c r="C40" s="72">
        <v>4000</v>
      </c>
      <c r="D40" s="72">
        <v>7500</v>
      </c>
      <c r="E40" s="72">
        <v>311</v>
      </c>
      <c r="F40" s="75" t="s">
        <v>109</v>
      </c>
      <c r="G40" s="39"/>
      <c r="H40" s="39"/>
      <c r="I40" s="39"/>
      <c r="J40" s="39"/>
      <c r="K40" s="76">
        <v>5845.6281539215688</v>
      </c>
      <c r="L40" s="39"/>
      <c r="M40" s="119">
        <f>Payroll!F111*1.25%</f>
        <v>5403.462691177172</v>
      </c>
      <c r="N40" s="39"/>
      <c r="O40" s="49" t="s">
        <v>174</v>
      </c>
      <c r="P40" s="1" t="str">
        <f t="shared" si="1"/>
        <v>*</v>
      </c>
      <c r="R40" s="146">
        <v>100</v>
      </c>
      <c r="S40" s="146">
        <v>4000</v>
      </c>
      <c r="T40" s="146">
        <v>7500</v>
      </c>
      <c r="U40" s="146">
        <v>311</v>
      </c>
      <c r="V40" s="141" t="s">
        <v>109</v>
      </c>
      <c r="W40" s="141" t="s">
        <v>311</v>
      </c>
      <c r="X40" s="140">
        <v>5845.6281539215688</v>
      </c>
    </row>
    <row r="41" spans="1:24" ht="15" customHeight="1">
      <c r="A41" s="25"/>
      <c r="B41" s="113">
        <v>493</v>
      </c>
      <c r="C41" s="72">
        <v>4000</v>
      </c>
      <c r="D41" s="72">
        <v>7800</v>
      </c>
      <c r="E41" s="72">
        <v>310</v>
      </c>
      <c r="F41" s="75" t="s">
        <v>140</v>
      </c>
      <c r="G41" s="39"/>
      <c r="H41" s="39"/>
      <c r="I41" s="39"/>
      <c r="J41" s="39"/>
      <c r="K41" s="76">
        <v>0</v>
      </c>
      <c r="L41" s="39"/>
      <c r="M41" s="57">
        <f>+'Restart Grant'!E16</f>
        <v>10608</v>
      </c>
      <c r="N41" s="57"/>
      <c r="O41" s="62" t="s">
        <v>440</v>
      </c>
      <c r="P41" s="1" t="str">
        <f>IF((K41+M41)&gt;0.49,"*","")</f>
        <v>*</v>
      </c>
      <c r="R41" s="144"/>
      <c r="S41" s="144"/>
      <c r="T41" s="144"/>
      <c r="U41" s="144"/>
      <c r="V41" s="138"/>
      <c r="W41" s="138"/>
      <c r="X41" s="145"/>
    </row>
    <row r="42" spans="1:24" ht="14.4">
      <c r="A42" s="25"/>
      <c r="B42" s="72">
        <v>100</v>
      </c>
      <c r="C42" s="72">
        <v>4000</v>
      </c>
      <c r="D42" s="72">
        <v>7800</v>
      </c>
      <c r="E42" s="72">
        <v>350</v>
      </c>
      <c r="F42" s="75" t="s">
        <v>140</v>
      </c>
      <c r="G42" s="39"/>
      <c r="H42" s="39"/>
      <c r="I42" s="39"/>
      <c r="J42" s="39"/>
      <c r="K42" s="76">
        <v>9302.1875</v>
      </c>
      <c r="L42" s="39"/>
      <c r="M42" s="57">
        <f>+K42/EnrOld*EnrNew*Inf</f>
        <v>9395.2093750000004</v>
      </c>
      <c r="N42" s="57"/>
      <c r="O42" s="62" t="s">
        <v>87</v>
      </c>
      <c r="P42" s="1" t="str">
        <f t="shared" si="1"/>
        <v>*</v>
      </c>
      <c r="R42" s="144">
        <v>100</v>
      </c>
      <c r="S42" s="144">
        <v>4000</v>
      </c>
      <c r="T42" s="144">
        <v>7800</v>
      </c>
      <c r="U42" s="144">
        <v>350</v>
      </c>
      <c r="V42" s="138" t="s">
        <v>140</v>
      </c>
      <c r="W42" s="138" t="s">
        <v>314</v>
      </c>
      <c r="X42" s="145">
        <v>9302.1875</v>
      </c>
    </row>
    <row r="43" spans="1:24" ht="14.4">
      <c r="A43" s="25"/>
      <c r="B43" s="72">
        <v>100</v>
      </c>
      <c r="C43" s="72">
        <v>4000</v>
      </c>
      <c r="D43" s="72">
        <v>7800</v>
      </c>
      <c r="E43" s="72">
        <v>550</v>
      </c>
      <c r="F43" s="75" t="s">
        <v>147</v>
      </c>
      <c r="G43" s="39"/>
      <c r="H43" s="39"/>
      <c r="I43" s="39"/>
      <c r="J43" s="39"/>
      <c r="K43" s="76">
        <v>2114.75</v>
      </c>
      <c r="L43" s="39"/>
      <c r="M43" s="57">
        <f t="shared" ref="M43:M63" si="4">+K43*Inf</f>
        <v>2135.8975</v>
      </c>
      <c r="N43" s="39"/>
      <c r="O43" s="49" t="s">
        <v>88</v>
      </c>
      <c r="P43" s="1" t="str">
        <f t="shared" si="1"/>
        <v>*</v>
      </c>
      <c r="R43" s="144">
        <v>100</v>
      </c>
      <c r="S43" s="144">
        <v>4000</v>
      </c>
      <c r="T43" s="144">
        <v>7800</v>
      </c>
      <c r="U43" s="144" t="s">
        <v>316</v>
      </c>
      <c r="V43" s="138" t="s">
        <v>147</v>
      </c>
      <c r="W43" s="138" t="s">
        <v>314</v>
      </c>
      <c r="X43" s="145">
        <v>2114.75</v>
      </c>
    </row>
    <row r="44" spans="1:24" ht="14.4" hidden="1">
      <c r="A44" s="25"/>
      <c r="B44" s="72">
        <v>100</v>
      </c>
      <c r="C44" s="72">
        <v>4000</v>
      </c>
      <c r="D44" s="72">
        <v>7800</v>
      </c>
      <c r="E44" s="72">
        <v>640</v>
      </c>
      <c r="F44" s="75" t="s">
        <v>177</v>
      </c>
      <c r="G44" s="39"/>
      <c r="H44" s="39"/>
      <c r="I44" s="39"/>
      <c r="J44" s="39"/>
      <c r="K44" s="76"/>
      <c r="L44" s="39"/>
      <c r="M44" s="39">
        <v>0</v>
      </c>
      <c r="N44" s="39"/>
      <c r="O44" s="49" t="s">
        <v>171</v>
      </c>
      <c r="P44" s="1" t="str">
        <f t="shared" si="1"/>
        <v/>
      </c>
      <c r="R44" s="144"/>
      <c r="S44" s="144"/>
      <c r="T44" s="144"/>
      <c r="U44" s="144"/>
      <c r="V44" s="138"/>
      <c r="W44" s="138"/>
      <c r="X44" s="145"/>
    </row>
    <row r="45" spans="1:24" ht="14.4" hidden="1">
      <c r="A45" s="25"/>
      <c r="B45" s="72">
        <v>360</v>
      </c>
      <c r="C45" s="72">
        <v>4000</v>
      </c>
      <c r="D45" s="72">
        <v>7800</v>
      </c>
      <c r="E45" s="72">
        <v>640</v>
      </c>
      <c r="F45" s="75" t="s">
        <v>177</v>
      </c>
      <c r="G45" s="39"/>
      <c r="H45" s="39"/>
      <c r="I45" s="39"/>
      <c r="J45" s="39"/>
      <c r="K45" s="76"/>
      <c r="L45" s="39"/>
      <c r="M45" s="39">
        <v>0</v>
      </c>
      <c r="N45" s="39"/>
      <c r="O45" s="49" t="s">
        <v>171</v>
      </c>
      <c r="P45" s="1" t="str">
        <f t="shared" si="1"/>
        <v/>
      </c>
      <c r="R45" s="144"/>
      <c r="S45" s="144"/>
      <c r="T45" s="144"/>
      <c r="U45" s="144"/>
      <c r="V45" s="138"/>
      <c r="W45" s="138"/>
      <c r="X45" s="145"/>
    </row>
    <row r="46" spans="1:24" ht="15" customHeight="1">
      <c r="A46" s="25"/>
      <c r="B46" s="113">
        <v>493</v>
      </c>
      <c r="C46" s="72">
        <v>4000</v>
      </c>
      <c r="D46" s="72">
        <v>7800</v>
      </c>
      <c r="E46" s="72" t="s">
        <v>441</v>
      </c>
      <c r="F46" s="75" t="s">
        <v>177</v>
      </c>
      <c r="G46" s="39"/>
      <c r="H46" s="39"/>
      <c r="I46" s="39"/>
      <c r="J46" s="39"/>
      <c r="K46" s="76">
        <v>0</v>
      </c>
      <c r="L46" s="39"/>
      <c r="M46" s="57">
        <f>+'Restart Grant'!E15</f>
        <v>12006.64</v>
      </c>
      <c r="N46" s="57"/>
      <c r="O46" s="62" t="s">
        <v>440</v>
      </c>
      <c r="P46" s="1" t="str">
        <f>IF((K46+M46)&gt;0.49,"*","")</f>
        <v>*</v>
      </c>
      <c r="R46" s="144"/>
      <c r="S46" s="144"/>
      <c r="T46" s="144"/>
      <c r="U46" s="144"/>
      <c r="V46" s="138"/>
      <c r="W46" s="138"/>
      <c r="X46" s="145"/>
    </row>
    <row r="47" spans="1:24" ht="14.4" hidden="1">
      <c r="A47" s="25"/>
      <c r="B47" s="72">
        <v>100</v>
      </c>
      <c r="C47" s="72">
        <v>4000</v>
      </c>
      <c r="D47" s="72">
        <v>7800</v>
      </c>
      <c r="E47" s="72">
        <v>730</v>
      </c>
      <c r="F47" s="75" t="s">
        <v>210</v>
      </c>
      <c r="G47" s="39">
        <v>0</v>
      </c>
      <c r="H47" s="39">
        <v>82.8</v>
      </c>
      <c r="I47" s="39"/>
      <c r="J47" s="39"/>
      <c r="K47" s="76"/>
      <c r="L47" s="39"/>
      <c r="M47" s="39">
        <v>0</v>
      </c>
      <c r="N47" s="39"/>
      <c r="O47" s="49" t="s">
        <v>171</v>
      </c>
      <c r="P47" s="1" t="str">
        <f t="shared" si="1"/>
        <v/>
      </c>
      <c r="R47" s="144"/>
      <c r="S47" s="144"/>
      <c r="T47" s="144"/>
      <c r="U47" s="144"/>
      <c r="V47" s="138"/>
      <c r="W47" s="138"/>
      <c r="X47" s="145"/>
    </row>
    <row r="48" spans="1:24" ht="14.4">
      <c r="A48" s="25"/>
      <c r="B48" s="72">
        <v>100</v>
      </c>
      <c r="C48" s="72">
        <v>4000</v>
      </c>
      <c r="D48" s="72">
        <v>7900</v>
      </c>
      <c r="E48" s="72" t="s">
        <v>184</v>
      </c>
      <c r="F48" s="75" t="s">
        <v>185</v>
      </c>
      <c r="G48" s="39"/>
      <c r="H48" s="39"/>
      <c r="I48" s="39"/>
      <c r="J48" s="39"/>
      <c r="K48" s="76">
        <v>35600</v>
      </c>
      <c r="L48" s="39"/>
      <c r="M48" s="39">
        <f>3560*10</f>
        <v>35600</v>
      </c>
      <c r="N48" s="39"/>
      <c r="O48" s="49" t="s">
        <v>217</v>
      </c>
      <c r="P48" s="1" t="str">
        <f t="shared" si="1"/>
        <v>*</v>
      </c>
      <c r="R48" s="144">
        <v>100</v>
      </c>
      <c r="S48" s="144">
        <v>4000</v>
      </c>
      <c r="T48" s="144">
        <v>7900</v>
      </c>
      <c r="U48" s="144">
        <v>310</v>
      </c>
      <c r="V48" s="138" t="s">
        <v>211</v>
      </c>
      <c r="W48" s="138" t="s">
        <v>318</v>
      </c>
      <c r="X48" s="145">
        <v>35600</v>
      </c>
    </row>
    <row r="49" spans="1:24" ht="14.4">
      <c r="A49" s="25"/>
      <c r="B49" s="72">
        <v>100</v>
      </c>
      <c r="C49" s="72">
        <v>4000</v>
      </c>
      <c r="D49" s="72">
        <v>7900</v>
      </c>
      <c r="E49" s="72">
        <v>320</v>
      </c>
      <c r="F49" s="75" t="s">
        <v>224</v>
      </c>
      <c r="G49" s="39"/>
      <c r="H49" s="39"/>
      <c r="I49" s="39"/>
      <c r="J49" s="39"/>
      <c r="K49" s="76">
        <v>27147</v>
      </c>
      <c r="L49" s="39"/>
      <c r="M49" s="76">
        <f>+K25+K49-M50</f>
        <v>7057.619999999999</v>
      </c>
      <c r="N49" s="39"/>
      <c r="O49" s="49" t="s">
        <v>88</v>
      </c>
      <c r="P49" s="1" t="str">
        <f t="shared" si="1"/>
        <v>*</v>
      </c>
      <c r="R49" s="144">
        <v>100</v>
      </c>
      <c r="S49" s="144">
        <v>4000</v>
      </c>
      <c r="T49" s="144">
        <v>7900</v>
      </c>
      <c r="U49" s="144">
        <v>320</v>
      </c>
      <c r="V49" s="138" t="s">
        <v>110</v>
      </c>
      <c r="W49" s="138" t="s">
        <v>318</v>
      </c>
      <c r="X49" s="145">
        <v>27147</v>
      </c>
    </row>
    <row r="50" spans="1:24" ht="14.4">
      <c r="A50" s="25"/>
      <c r="B50" s="78">
        <v>360</v>
      </c>
      <c r="C50" s="72">
        <v>4000</v>
      </c>
      <c r="D50" s="72">
        <v>7900</v>
      </c>
      <c r="E50" s="72">
        <v>320</v>
      </c>
      <c r="F50" s="75" t="s">
        <v>224</v>
      </c>
      <c r="G50" s="39"/>
      <c r="H50" s="39"/>
      <c r="I50" s="39"/>
      <c r="J50" s="39"/>
      <c r="K50" s="76">
        <v>0</v>
      </c>
      <c r="L50" s="39"/>
      <c r="M50" s="132">
        <f>+'Rev Input'!J27-'Expense Input'!M60-'Expense Input'!M65-'Expense Input'!M67</f>
        <v>20089.38</v>
      </c>
      <c r="N50" s="39"/>
      <c r="O50" s="62" t="s">
        <v>216</v>
      </c>
      <c r="P50" s="1" t="str">
        <f t="shared" si="1"/>
        <v>*</v>
      </c>
      <c r="R50" s="146">
        <v>360</v>
      </c>
      <c r="S50" s="146">
        <v>4000</v>
      </c>
      <c r="T50" s="146">
        <v>7900</v>
      </c>
      <c r="U50" s="146">
        <v>320</v>
      </c>
      <c r="V50" s="141" t="s">
        <v>110</v>
      </c>
      <c r="W50" s="141" t="s">
        <v>318</v>
      </c>
      <c r="X50" s="140">
        <v>0</v>
      </c>
    </row>
    <row r="51" spans="1:24" ht="14.4" hidden="1">
      <c r="A51" s="25"/>
      <c r="B51" s="78">
        <v>100</v>
      </c>
      <c r="C51" s="78">
        <v>4000</v>
      </c>
      <c r="D51" s="78">
        <v>7900</v>
      </c>
      <c r="E51" s="78">
        <v>360</v>
      </c>
      <c r="F51" s="79" t="s">
        <v>129</v>
      </c>
      <c r="G51" s="57"/>
      <c r="H51" s="57"/>
      <c r="I51" s="57"/>
      <c r="J51" s="57"/>
      <c r="K51" s="80"/>
      <c r="L51" s="57"/>
      <c r="M51" s="132">
        <v>0</v>
      </c>
      <c r="N51" s="57"/>
      <c r="O51" s="62" t="s">
        <v>145</v>
      </c>
      <c r="P51" s="1" t="str">
        <f t="shared" si="1"/>
        <v/>
      </c>
      <c r="R51" s="146"/>
      <c r="S51" s="146"/>
      <c r="T51" s="146"/>
      <c r="U51" s="146"/>
      <c r="V51" s="141"/>
      <c r="W51" s="141"/>
      <c r="X51" s="140"/>
    </row>
    <row r="52" spans="1:24" ht="14.4" hidden="1">
      <c r="A52" s="25"/>
      <c r="B52" s="78">
        <v>360</v>
      </c>
      <c r="C52" s="78">
        <v>4000</v>
      </c>
      <c r="D52" s="78">
        <v>7900</v>
      </c>
      <c r="E52" s="78">
        <v>360</v>
      </c>
      <c r="F52" s="79" t="s">
        <v>129</v>
      </c>
      <c r="G52" s="57"/>
      <c r="H52" s="57"/>
      <c r="I52" s="57"/>
      <c r="J52" s="57"/>
      <c r="K52" s="80"/>
      <c r="L52" s="57"/>
      <c r="M52" s="57">
        <v>0</v>
      </c>
      <c r="N52" s="57"/>
      <c r="O52" s="62" t="s">
        <v>171</v>
      </c>
      <c r="P52" s="1" t="str">
        <f t="shared" si="1"/>
        <v/>
      </c>
      <c r="R52" s="146"/>
      <c r="S52" s="146"/>
      <c r="T52" s="146"/>
      <c r="U52" s="146"/>
      <c r="V52" s="141"/>
      <c r="W52" s="141"/>
      <c r="X52" s="140"/>
    </row>
    <row r="53" spans="1:24" ht="14.4">
      <c r="A53" s="25"/>
      <c r="B53" s="113">
        <v>493</v>
      </c>
      <c r="C53" s="78">
        <v>4000</v>
      </c>
      <c r="D53" s="78">
        <v>7900</v>
      </c>
      <c r="E53" s="78">
        <v>360</v>
      </c>
      <c r="F53" s="79" t="s">
        <v>129</v>
      </c>
      <c r="G53" s="57"/>
      <c r="H53" s="57"/>
      <c r="I53" s="57"/>
      <c r="J53" s="57"/>
      <c r="K53" s="80"/>
      <c r="L53" s="57"/>
      <c r="M53" s="57">
        <f>+SUM('Restart Grant'!E18:E19)</f>
        <v>89800</v>
      </c>
      <c r="N53" s="57"/>
      <c r="O53" s="62" t="s">
        <v>440</v>
      </c>
      <c r="P53" s="1" t="str">
        <f t="shared" ref="P53" si="5">IF((K53+M53)&gt;0.49,"*","")</f>
        <v>*</v>
      </c>
      <c r="R53" s="146"/>
      <c r="S53" s="146"/>
      <c r="T53" s="146"/>
      <c r="U53" s="146"/>
      <c r="V53" s="141"/>
      <c r="W53" s="141"/>
      <c r="X53" s="140"/>
    </row>
    <row r="54" spans="1:24" ht="14.4">
      <c r="A54" s="31"/>
      <c r="B54" s="72">
        <v>100</v>
      </c>
      <c r="C54" s="72">
        <v>4000</v>
      </c>
      <c r="D54" s="72">
        <v>7900</v>
      </c>
      <c r="E54" s="72" t="s">
        <v>231</v>
      </c>
      <c r="F54" s="75" t="s">
        <v>111</v>
      </c>
      <c r="G54" s="57"/>
      <c r="H54" s="57"/>
      <c r="I54" s="57"/>
      <c r="J54" s="57"/>
      <c r="K54" s="76">
        <v>4004</v>
      </c>
      <c r="L54" s="57"/>
      <c r="M54" s="39">
        <f>+K54*Inf</f>
        <v>4044.04</v>
      </c>
      <c r="N54" s="39"/>
      <c r="O54" s="49" t="s">
        <v>88</v>
      </c>
      <c r="P54" s="1" t="str">
        <f t="shared" si="1"/>
        <v>*</v>
      </c>
      <c r="R54" s="144">
        <v>100</v>
      </c>
      <c r="S54" s="144">
        <v>4000</v>
      </c>
      <c r="T54" s="144">
        <v>7900</v>
      </c>
      <c r="U54" s="144">
        <v>379</v>
      </c>
      <c r="V54" s="138" t="s">
        <v>322</v>
      </c>
      <c r="W54" s="138" t="s">
        <v>318</v>
      </c>
      <c r="X54" s="145">
        <v>4004</v>
      </c>
    </row>
    <row r="55" spans="1:24" ht="14.4">
      <c r="A55" s="60"/>
      <c r="B55" s="72">
        <v>100</v>
      </c>
      <c r="C55" s="72">
        <v>4000</v>
      </c>
      <c r="D55" s="72">
        <v>7900</v>
      </c>
      <c r="E55" s="72">
        <v>380</v>
      </c>
      <c r="F55" s="75" t="s">
        <v>112</v>
      </c>
      <c r="G55" s="57"/>
      <c r="H55" s="57"/>
      <c r="I55" s="57"/>
      <c r="J55" s="57"/>
      <c r="K55" s="76">
        <v>3587.1514285714279</v>
      </c>
      <c r="L55" s="57"/>
      <c r="M55" s="39">
        <f>+K55*Inf</f>
        <v>3623.0229428571424</v>
      </c>
      <c r="N55" s="39"/>
      <c r="O55" s="49" t="s">
        <v>88</v>
      </c>
      <c r="P55" s="1" t="str">
        <f t="shared" si="1"/>
        <v>*</v>
      </c>
      <c r="R55" s="146">
        <v>100</v>
      </c>
      <c r="S55" s="146">
        <v>4000</v>
      </c>
      <c r="T55" s="146">
        <v>7900</v>
      </c>
      <c r="U55" s="146">
        <v>380</v>
      </c>
      <c r="V55" s="141" t="s">
        <v>112</v>
      </c>
      <c r="W55" s="141" t="s">
        <v>318</v>
      </c>
      <c r="X55" s="140">
        <v>3587.1514285714279</v>
      </c>
    </row>
    <row r="56" spans="1:24" ht="14.4">
      <c r="A56" s="31"/>
      <c r="B56" s="78">
        <v>100</v>
      </c>
      <c r="C56" s="78">
        <v>4000</v>
      </c>
      <c r="D56" s="78">
        <v>7900</v>
      </c>
      <c r="E56" s="78">
        <v>390</v>
      </c>
      <c r="F56" s="79" t="s">
        <v>113</v>
      </c>
      <c r="G56" s="57"/>
      <c r="H56" s="57"/>
      <c r="I56" s="57"/>
      <c r="J56" s="57"/>
      <c r="K56" s="80">
        <v>1017.375</v>
      </c>
      <c r="L56" s="57"/>
      <c r="M56" s="39">
        <f>+K56*Inf</f>
        <v>1027.5487499999999</v>
      </c>
      <c r="N56" s="57"/>
      <c r="O56" s="49" t="s">
        <v>88</v>
      </c>
      <c r="P56" s="1" t="str">
        <f t="shared" si="1"/>
        <v>*</v>
      </c>
      <c r="R56" s="144">
        <v>100</v>
      </c>
      <c r="S56" s="144">
        <v>4000</v>
      </c>
      <c r="T56" s="144">
        <v>7900</v>
      </c>
      <c r="U56" s="144">
        <v>390</v>
      </c>
      <c r="V56" s="138" t="s">
        <v>113</v>
      </c>
      <c r="W56" s="138" t="s">
        <v>318</v>
      </c>
      <c r="X56" s="145">
        <v>1017.375</v>
      </c>
    </row>
    <row r="57" spans="1:24" ht="14.4">
      <c r="A57" s="25"/>
      <c r="B57" s="72">
        <v>100</v>
      </c>
      <c r="C57" s="72">
        <v>4000</v>
      </c>
      <c r="D57" s="72">
        <v>7900</v>
      </c>
      <c r="E57" s="72">
        <v>430</v>
      </c>
      <c r="F57" s="75" t="s">
        <v>114</v>
      </c>
      <c r="G57" s="57"/>
      <c r="H57" s="57"/>
      <c r="I57" s="57"/>
      <c r="J57" s="57"/>
      <c r="K57" s="76">
        <v>6951.7919999999986</v>
      </c>
      <c r="L57" s="57"/>
      <c r="M57" s="39">
        <f>+K57*Inf</f>
        <v>7021.3099199999988</v>
      </c>
      <c r="N57" s="39"/>
      <c r="O57" s="49" t="s">
        <v>88</v>
      </c>
      <c r="P57" s="1" t="str">
        <f t="shared" si="1"/>
        <v>*</v>
      </c>
      <c r="R57" s="144">
        <v>100</v>
      </c>
      <c r="S57" s="144">
        <v>4000</v>
      </c>
      <c r="T57" s="144">
        <v>7900</v>
      </c>
      <c r="U57" s="144">
        <v>430</v>
      </c>
      <c r="V57" s="138" t="s">
        <v>114</v>
      </c>
      <c r="W57" s="138" t="s">
        <v>318</v>
      </c>
      <c r="X57" s="145">
        <v>6951.7919999999986</v>
      </c>
    </row>
    <row r="58" spans="1:24" ht="14.4">
      <c r="A58" s="25"/>
      <c r="B58" s="78">
        <v>100</v>
      </c>
      <c r="C58" s="78">
        <v>4000</v>
      </c>
      <c r="D58" s="78">
        <v>7900</v>
      </c>
      <c r="E58" s="78">
        <v>510</v>
      </c>
      <c r="F58" s="79" t="s">
        <v>115</v>
      </c>
      <c r="G58" s="39"/>
      <c r="H58" s="39"/>
      <c r="I58" s="39"/>
      <c r="J58" s="57"/>
      <c r="K58" s="80">
        <v>1726.9080000000004</v>
      </c>
      <c r="L58" s="57"/>
      <c r="M58" s="39">
        <f>+K58*Inf</f>
        <v>1744.1770800000004</v>
      </c>
      <c r="N58" s="57"/>
      <c r="O58" s="49" t="s">
        <v>88</v>
      </c>
      <c r="P58" s="1" t="str">
        <f t="shared" si="1"/>
        <v>*</v>
      </c>
      <c r="R58" s="144">
        <v>100</v>
      </c>
      <c r="S58" s="144">
        <v>4000</v>
      </c>
      <c r="T58" s="144">
        <v>7900</v>
      </c>
      <c r="U58" s="144">
        <v>510</v>
      </c>
      <c r="V58" s="138" t="s">
        <v>115</v>
      </c>
      <c r="W58" s="138" t="s">
        <v>318</v>
      </c>
      <c r="X58" s="145">
        <v>1726.9080000000004</v>
      </c>
    </row>
    <row r="59" spans="1:24" ht="14.4">
      <c r="A59" s="25"/>
      <c r="B59" s="78">
        <v>100</v>
      </c>
      <c r="C59" s="78">
        <v>4000</v>
      </c>
      <c r="D59" s="78">
        <v>8100</v>
      </c>
      <c r="E59" s="78">
        <v>350</v>
      </c>
      <c r="F59" s="79" t="s">
        <v>116</v>
      </c>
      <c r="G59" s="39"/>
      <c r="H59" s="39"/>
      <c r="I59" s="39"/>
      <c r="J59" s="57"/>
      <c r="K59" s="80">
        <v>8326.8085714285717</v>
      </c>
      <c r="L59" s="57"/>
      <c r="M59" s="57">
        <f t="shared" si="4"/>
        <v>8410.0766571428576</v>
      </c>
      <c r="N59" s="57"/>
      <c r="O59" s="49" t="s">
        <v>88</v>
      </c>
      <c r="P59" s="1" t="str">
        <f t="shared" si="1"/>
        <v>*</v>
      </c>
      <c r="R59" s="146">
        <v>100</v>
      </c>
      <c r="S59" s="146">
        <v>4000</v>
      </c>
      <c r="T59" s="146">
        <v>8100</v>
      </c>
      <c r="U59" s="146">
        <v>350</v>
      </c>
      <c r="V59" s="141" t="s">
        <v>116</v>
      </c>
      <c r="W59" s="141" t="s">
        <v>328</v>
      </c>
      <c r="X59" s="140">
        <v>8326.8085714285717</v>
      </c>
    </row>
    <row r="60" spans="1:24" ht="14.4" hidden="1">
      <c r="A60" s="25"/>
      <c r="B60" s="78">
        <v>360</v>
      </c>
      <c r="C60" s="78">
        <v>4000</v>
      </c>
      <c r="D60" s="78">
        <v>8100</v>
      </c>
      <c r="E60" s="78">
        <v>350</v>
      </c>
      <c r="F60" s="79" t="s">
        <v>116</v>
      </c>
      <c r="G60" s="57"/>
      <c r="H60" s="57"/>
      <c r="I60" s="57"/>
      <c r="J60" s="57"/>
      <c r="K60" s="80">
        <v>0</v>
      </c>
      <c r="L60" s="57"/>
      <c r="M60" s="57"/>
      <c r="N60" s="57"/>
      <c r="O60" s="62" t="s">
        <v>88</v>
      </c>
      <c r="P60" s="1" t="str">
        <f t="shared" si="1"/>
        <v/>
      </c>
      <c r="R60" s="146">
        <v>360</v>
      </c>
      <c r="S60" s="146">
        <v>4000</v>
      </c>
      <c r="T60" s="146">
        <v>8100</v>
      </c>
      <c r="U60" s="146">
        <v>350</v>
      </c>
      <c r="V60" s="141" t="s">
        <v>212</v>
      </c>
      <c r="W60" s="141" t="s">
        <v>328</v>
      </c>
      <c r="X60" s="140">
        <v>0</v>
      </c>
    </row>
    <row r="61" spans="1:24" ht="14.4" hidden="1">
      <c r="A61" s="60"/>
      <c r="B61" s="78">
        <v>496</v>
      </c>
      <c r="C61" s="78">
        <v>4000</v>
      </c>
      <c r="D61" s="78">
        <v>8100</v>
      </c>
      <c r="E61" s="78">
        <v>350</v>
      </c>
      <c r="F61" s="79" t="s">
        <v>116</v>
      </c>
      <c r="G61" s="57"/>
      <c r="H61" s="57"/>
      <c r="I61" s="57"/>
      <c r="J61" s="57"/>
      <c r="K61" s="80"/>
      <c r="L61" s="57"/>
      <c r="M61" s="57">
        <v>0</v>
      </c>
      <c r="N61" s="57"/>
      <c r="O61" s="62" t="s">
        <v>171</v>
      </c>
      <c r="P61" s="1" t="str">
        <f t="shared" si="1"/>
        <v/>
      </c>
      <c r="R61" s="146"/>
      <c r="S61" s="146"/>
      <c r="T61" s="146"/>
      <c r="U61" s="146"/>
      <c r="V61" s="141"/>
      <c r="W61" s="141"/>
      <c r="X61" s="140"/>
    </row>
    <row r="62" spans="1:24" ht="14.4">
      <c r="A62" s="25"/>
      <c r="B62" s="72">
        <v>100</v>
      </c>
      <c r="C62" s="72">
        <v>4000</v>
      </c>
      <c r="D62" s="72">
        <v>9100</v>
      </c>
      <c r="E62" s="72">
        <v>705</v>
      </c>
      <c r="F62" s="75" t="s">
        <v>96</v>
      </c>
      <c r="G62" s="39"/>
      <c r="H62" s="39"/>
      <c r="I62" s="39"/>
      <c r="J62" s="39"/>
      <c r="K62" s="76">
        <v>440</v>
      </c>
      <c r="L62" s="39"/>
      <c r="M62" s="39">
        <f t="shared" si="4"/>
        <v>444.4</v>
      </c>
      <c r="N62" s="39"/>
      <c r="O62" s="49" t="s">
        <v>88</v>
      </c>
      <c r="P62" s="1" t="str">
        <f t="shared" si="1"/>
        <v>*</v>
      </c>
      <c r="R62" s="146">
        <v>100</v>
      </c>
      <c r="S62" s="146">
        <v>4000</v>
      </c>
      <c r="T62" s="146">
        <v>9100</v>
      </c>
      <c r="U62" s="146" t="s">
        <v>331</v>
      </c>
      <c r="V62" s="141" t="s">
        <v>96</v>
      </c>
      <c r="W62" s="141" t="s">
        <v>332</v>
      </c>
      <c r="X62" s="140">
        <v>440</v>
      </c>
    </row>
    <row r="63" spans="1:24" ht="14.4">
      <c r="A63" s="25"/>
      <c r="B63" s="78">
        <v>100</v>
      </c>
      <c r="C63" s="78">
        <v>4000</v>
      </c>
      <c r="D63" s="78">
        <v>9100</v>
      </c>
      <c r="E63" s="78">
        <v>710</v>
      </c>
      <c r="F63" s="79" t="s">
        <v>213</v>
      </c>
      <c r="G63" s="39">
        <v>0</v>
      </c>
      <c r="H63" s="39">
        <v>1020</v>
      </c>
      <c r="I63" s="39"/>
      <c r="J63" s="57"/>
      <c r="K63" s="80">
        <v>1030</v>
      </c>
      <c r="L63" s="57"/>
      <c r="M63" s="57">
        <f t="shared" si="4"/>
        <v>1040.3</v>
      </c>
      <c r="N63" s="57"/>
      <c r="O63" s="62" t="s">
        <v>88</v>
      </c>
      <c r="P63" s="1" t="str">
        <f t="shared" si="1"/>
        <v>*</v>
      </c>
      <c r="R63" s="146">
        <v>100</v>
      </c>
      <c r="S63" s="146">
        <v>4000</v>
      </c>
      <c r="T63" s="146">
        <v>9100</v>
      </c>
      <c r="U63" s="146">
        <v>710</v>
      </c>
      <c r="V63" s="141" t="s">
        <v>213</v>
      </c>
      <c r="W63" s="141" t="s">
        <v>332</v>
      </c>
      <c r="X63" s="140">
        <v>1030</v>
      </c>
    </row>
    <row r="64" spans="1:24" s="64" customFormat="1" ht="14.4">
      <c r="A64" s="31"/>
      <c r="B64" s="78">
        <v>100</v>
      </c>
      <c r="C64" s="78" t="s">
        <v>343</v>
      </c>
      <c r="D64" s="78" t="s">
        <v>345</v>
      </c>
      <c r="E64" s="78" t="s">
        <v>344</v>
      </c>
      <c r="F64" s="79" t="s">
        <v>220</v>
      </c>
      <c r="G64" s="57"/>
      <c r="H64" s="57"/>
      <c r="I64" s="57"/>
      <c r="J64" s="57"/>
      <c r="K64" s="80">
        <v>7556.31</v>
      </c>
      <c r="L64" s="57"/>
      <c r="M64" s="57"/>
      <c r="N64" s="57"/>
      <c r="O64" s="62" t="s">
        <v>442</v>
      </c>
      <c r="P64" s="1" t="str">
        <f t="shared" si="1"/>
        <v>*</v>
      </c>
      <c r="R64" s="146">
        <v>100</v>
      </c>
      <c r="S64" s="146">
        <v>4000</v>
      </c>
      <c r="T64" s="146">
        <v>9200</v>
      </c>
      <c r="U64" s="146">
        <v>710</v>
      </c>
      <c r="V64" s="141" t="s">
        <v>335</v>
      </c>
      <c r="W64" s="141" t="s">
        <v>336</v>
      </c>
      <c r="X64" s="140">
        <v>7556.31</v>
      </c>
    </row>
    <row r="65" spans="1:24" s="64" customFormat="1" ht="14.4">
      <c r="A65" s="31"/>
      <c r="B65" s="78">
        <v>360</v>
      </c>
      <c r="C65" s="78">
        <v>4000</v>
      </c>
      <c r="D65" s="78">
        <v>9200</v>
      </c>
      <c r="E65" s="78">
        <v>710</v>
      </c>
      <c r="F65" s="79" t="s">
        <v>220</v>
      </c>
      <c r="G65" s="57"/>
      <c r="H65" s="57"/>
      <c r="I65" s="57"/>
      <c r="J65" s="57"/>
      <c r="K65" s="80"/>
      <c r="L65" s="57"/>
      <c r="M65" s="57">
        <f>654.17+646.8+649.87+663.11+656.09+669.16+662.36+665.5+697.63+671.96+684.59+678.38</f>
        <v>7999.62</v>
      </c>
      <c r="N65" s="57"/>
      <c r="O65" s="62" t="s">
        <v>225</v>
      </c>
      <c r="P65" s="1" t="str">
        <f t="shared" si="1"/>
        <v>*</v>
      </c>
      <c r="R65" s="146">
        <v>360</v>
      </c>
      <c r="S65" s="146">
        <v>4000</v>
      </c>
      <c r="T65" s="146">
        <v>9200</v>
      </c>
      <c r="U65" s="146">
        <v>710</v>
      </c>
      <c r="V65" s="141" t="s">
        <v>220</v>
      </c>
      <c r="W65" s="141" t="s">
        <v>336</v>
      </c>
      <c r="X65" s="140">
        <v>0</v>
      </c>
    </row>
    <row r="66" spans="1:24" s="64" customFormat="1" ht="14.4">
      <c r="A66" s="31"/>
      <c r="B66" s="78">
        <v>100</v>
      </c>
      <c r="C66" s="78" t="s">
        <v>343</v>
      </c>
      <c r="D66" s="78" t="s">
        <v>345</v>
      </c>
      <c r="E66" s="78" t="s">
        <v>346</v>
      </c>
      <c r="F66" s="79" t="s">
        <v>221</v>
      </c>
      <c r="G66" s="57"/>
      <c r="H66" s="57"/>
      <c r="I66" s="57"/>
      <c r="J66" s="57"/>
      <c r="K66" s="80">
        <v>4061.0099999999993</v>
      </c>
      <c r="L66" s="57"/>
      <c r="M66" s="57"/>
      <c r="N66" s="57"/>
      <c r="O66" s="62" t="s">
        <v>442</v>
      </c>
      <c r="P66" s="1" t="str">
        <f t="shared" si="1"/>
        <v>*</v>
      </c>
      <c r="R66" s="146">
        <v>100</v>
      </c>
      <c r="S66" s="146">
        <v>4000</v>
      </c>
      <c r="T66" s="146">
        <v>9200</v>
      </c>
      <c r="U66" s="146">
        <v>720</v>
      </c>
      <c r="V66" s="141" t="s">
        <v>339</v>
      </c>
      <c r="W66" s="141" t="s">
        <v>336</v>
      </c>
      <c r="X66" s="140">
        <v>4061.0099999999993</v>
      </c>
    </row>
    <row r="67" spans="1:24" s="64" customFormat="1" ht="14.4">
      <c r="A67" s="31"/>
      <c r="B67" s="78">
        <v>360</v>
      </c>
      <c r="C67" s="78">
        <v>4000</v>
      </c>
      <c r="D67" s="78">
        <v>9200</v>
      </c>
      <c r="E67" s="78">
        <v>720</v>
      </c>
      <c r="F67" s="79" t="s">
        <v>221</v>
      </c>
      <c r="G67" s="57"/>
      <c r="H67" s="57"/>
      <c r="I67" s="57"/>
      <c r="J67" s="57"/>
      <c r="K67" s="80">
        <v>0</v>
      </c>
      <c r="L67" s="57"/>
      <c r="M67" s="57">
        <f>313.94+321.61+318.24+305+312.02+298.95+305.75+302.61+270.48+296.15+283.52+289.73</f>
        <v>3618.0000000000005</v>
      </c>
      <c r="N67" s="57"/>
      <c r="O67" s="62" t="s">
        <v>225</v>
      </c>
      <c r="P67" s="1" t="str">
        <f t="shared" si="1"/>
        <v>*</v>
      </c>
      <c r="R67" s="146">
        <v>360</v>
      </c>
      <c r="S67" s="146">
        <v>4000</v>
      </c>
      <c r="T67" s="146">
        <v>9200</v>
      </c>
      <c r="U67" s="146">
        <v>720</v>
      </c>
      <c r="V67" s="141" t="s">
        <v>221</v>
      </c>
      <c r="W67" s="141" t="s">
        <v>336</v>
      </c>
      <c r="X67" s="140">
        <v>0</v>
      </c>
    </row>
    <row r="68" spans="1:24" hidden="1">
      <c r="A68" s="25"/>
      <c r="B68" s="78"/>
      <c r="C68" s="78"/>
      <c r="D68" s="78"/>
      <c r="E68" s="78"/>
      <c r="F68" s="79"/>
      <c r="G68" s="39"/>
      <c r="H68" s="39"/>
      <c r="I68" s="39"/>
      <c r="J68" s="39"/>
      <c r="K68" s="80"/>
      <c r="L68" s="39"/>
      <c r="M68" s="57"/>
      <c r="N68" s="57"/>
      <c r="O68" s="62"/>
      <c r="P68" s="1" t="str">
        <f t="shared" ref="P68:P73" si="6">IF((M70)&gt;0.49,"*","")</f>
        <v/>
      </c>
    </row>
    <row r="69" spans="1:24">
      <c r="A69" s="25"/>
      <c r="B69" s="78"/>
      <c r="C69" s="78"/>
      <c r="D69" s="78"/>
      <c r="E69" s="78"/>
      <c r="F69" s="79"/>
      <c r="G69" s="39"/>
      <c r="H69" s="39"/>
      <c r="I69" s="39"/>
      <c r="J69" s="39"/>
      <c r="K69" s="80">
        <f>SUM(K9:K68)</f>
        <v>579338.62851106457</v>
      </c>
      <c r="L69" s="39"/>
      <c r="M69" s="80">
        <f>SUM(M9:M68)</f>
        <v>564024.30920189153</v>
      </c>
      <c r="N69" s="57"/>
      <c r="O69" s="62"/>
      <c r="P69" s="1" t="s">
        <v>64</v>
      </c>
    </row>
    <row r="70" spans="1:24" hidden="1">
      <c r="A70" s="25"/>
      <c r="B70" s="72"/>
      <c r="C70" s="72"/>
      <c r="D70" s="72"/>
      <c r="E70" s="72"/>
      <c r="F70" s="75"/>
      <c r="G70" s="39"/>
      <c r="H70" s="39"/>
      <c r="I70" s="39"/>
      <c r="J70" s="39"/>
      <c r="K70" s="76"/>
      <c r="L70" s="39"/>
      <c r="M70" s="57"/>
      <c r="N70" s="57"/>
      <c r="O70" s="62"/>
      <c r="P70" s="1" t="str">
        <f t="shared" si="6"/>
        <v/>
      </c>
    </row>
    <row r="71" spans="1:24" hidden="1">
      <c r="A71" s="25"/>
      <c r="B71" s="72"/>
      <c r="C71" s="72"/>
      <c r="D71" s="72"/>
      <c r="E71" s="72"/>
      <c r="F71" s="75"/>
      <c r="G71" s="39"/>
      <c r="H71" s="39"/>
      <c r="I71" s="39"/>
      <c r="J71" s="39"/>
      <c r="K71" s="76"/>
      <c r="L71" s="39"/>
      <c r="M71" s="57"/>
      <c r="N71" s="57"/>
      <c r="O71" s="62"/>
      <c r="P71" s="1" t="str">
        <f t="shared" si="6"/>
        <v/>
      </c>
    </row>
    <row r="72" spans="1:24" hidden="1">
      <c r="A72" s="25"/>
      <c r="B72" s="72"/>
      <c r="C72" s="72"/>
      <c r="D72" s="72"/>
      <c r="E72" s="72"/>
      <c r="F72" s="75"/>
      <c r="G72" s="39"/>
      <c r="H72" s="39"/>
      <c r="I72" s="39"/>
      <c r="J72" s="39"/>
      <c r="K72" s="76"/>
      <c r="L72" s="39"/>
      <c r="M72" s="57"/>
      <c r="N72" s="57"/>
      <c r="O72" s="62"/>
      <c r="P72" s="1" t="str">
        <f t="shared" si="6"/>
        <v/>
      </c>
    </row>
    <row r="73" spans="1:24" hidden="1">
      <c r="A73" s="25"/>
      <c r="B73" s="72"/>
      <c r="C73" s="72"/>
      <c r="D73" s="72"/>
      <c r="E73" s="72"/>
      <c r="F73" s="75"/>
      <c r="G73" s="39"/>
      <c r="H73" s="39"/>
      <c r="I73" s="39"/>
      <c r="J73" s="39"/>
      <c r="K73" s="76"/>
      <c r="L73" s="39"/>
      <c r="M73" s="57"/>
      <c r="N73" s="57"/>
      <c r="O73" s="62"/>
      <c r="P73" s="1" t="str">
        <f t="shared" si="6"/>
        <v/>
      </c>
    </row>
    <row r="74" spans="1:24" hidden="1">
      <c r="A74" s="60"/>
      <c r="B74" s="72"/>
      <c r="C74" s="72"/>
      <c r="D74" s="72"/>
      <c r="E74" s="72"/>
      <c r="F74" s="75"/>
      <c r="G74" s="57"/>
      <c r="H74" s="57"/>
      <c r="I74" s="57"/>
      <c r="J74" s="57"/>
      <c r="K74" s="76"/>
      <c r="L74" s="57"/>
      <c r="M74" s="39"/>
      <c r="N74" s="39"/>
      <c r="O74" s="49"/>
      <c r="P74" s="1" t="str">
        <f>IF((M76)&gt;0.49,"*","")</f>
        <v/>
      </c>
    </row>
    <row r="75" spans="1:24" hidden="1">
      <c r="A75" s="25"/>
      <c r="B75" s="72"/>
      <c r="C75" s="72"/>
      <c r="D75" s="72"/>
      <c r="E75" s="72"/>
      <c r="F75" s="75"/>
      <c r="G75" s="57"/>
      <c r="H75" s="57"/>
      <c r="I75" s="57"/>
      <c r="J75" s="57"/>
      <c r="K75" s="76"/>
      <c r="L75" s="57"/>
      <c r="M75" s="39"/>
      <c r="N75" s="39"/>
      <c r="O75" s="49"/>
      <c r="P75" s="1" t="str">
        <f>IF((M77)&gt;0.49,"*","")</f>
        <v/>
      </c>
    </row>
    <row r="76" spans="1:24" hidden="1">
      <c r="A76" s="25"/>
      <c r="B76" s="72"/>
      <c r="C76" s="72"/>
      <c r="D76" s="72"/>
      <c r="E76" s="72"/>
      <c r="F76" s="75"/>
      <c r="G76" s="57"/>
      <c r="H76" s="57"/>
      <c r="I76" s="57"/>
      <c r="J76" s="57"/>
      <c r="K76" s="76"/>
      <c r="L76" s="57"/>
      <c r="M76" s="39"/>
      <c r="N76" s="39"/>
      <c r="O76" s="49"/>
      <c r="P76" s="1" t="str">
        <f t="shared" ref="P76:P101" si="7">IF(M78&gt;0.49,"*","")</f>
        <v/>
      </c>
    </row>
    <row r="77" spans="1:24" hidden="1">
      <c r="A77" s="25"/>
      <c r="B77" s="72"/>
      <c r="C77" s="72"/>
      <c r="D77" s="72"/>
      <c r="E77" s="72"/>
      <c r="F77" s="75"/>
      <c r="G77" s="39"/>
      <c r="H77" s="39"/>
      <c r="I77" s="39"/>
      <c r="J77" s="39"/>
      <c r="K77" s="76"/>
      <c r="L77" s="39"/>
      <c r="M77" s="39"/>
      <c r="N77" s="39"/>
      <c r="O77" s="49"/>
      <c r="P77" s="1" t="str">
        <f t="shared" si="7"/>
        <v/>
      </c>
    </row>
    <row r="78" spans="1:24" hidden="1">
      <c r="A78" s="25"/>
      <c r="B78" s="72"/>
      <c r="C78" s="72"/>
      <c r="D78" s="72"/>
      <c r="E78" s="72"/>
      <c r="F78" s="75"/>
      <c r="G78" s="39"/>
      <c r="H78" s="39"/>
      <c r="I78" s="39"/>
      <c r="J78" s="39"/>
      <c r="K78" s="76"/>
      <c r="L78" s="39"/>
      <c r="M78" s="57"/>
      <c r="N78" s="57"/>
      <c r="O78" s="62"/>
      <c r="P78" s="1" t="str">
        <f t="shared" si="7"/>
        <v/>
      </c>
    </row>
    <row r="79" spans="1:24" s="64" customFormat="1" hidden="1">
      <c r="A79" s="31"/>
      <c r="B79" s="72"/>
      <c r="C79" s="72"/>
      <c r="D79" s="72"/>
      <c r="E79" s="72"/>
      <c r="F79" s="75"/>
      <c r="G79" s="39"/>
      <c r="H79" s="39"/>
      <c r="I79" s="39"/>
      <c r="J79" s="39"/>
      <c r="K79" s="76"/>
      <c r="L79" s="39"/>
      <c r="M79" s="57"/>
      <c r="N79" s="57"/>
      <c r="O79" s="62"/>
      <c r="R79" s="1"/>
      <c r="S79" s="1"/>
      <c r="T79" s="1"/>
      <c r="U79" s="1"/>
      <c r="V79" s="1"/>
      <c r="W79" s="1"/>
      <c r="X79" s="1"/>
    </row>
    <row r="80" spans="1:24" hidden="1">
      <c r="A80" s="25"/>
      <c r="B80" s="72"/>
      <c r="C80" s="72"/>
      <c r="D80" s="72"/>
      <c r="E80" s="72"/>
      <c r="F80" s="75"/>
      <c r="G80" s="39"/>
      <c r="H80" s="39"/>
      <c r="I80" s="39"/>
      <c r="J80" s="39"/>
      <c r="K80" s="76"/>
      <c r="L80" s="39"/>
      <c r="M80" s="57"/>
      <c r="N80" s="57"/>
      <c r="O80" s="62"/>
      <c r="P80" s="1" t="str">
        <f t="shared" si="7"/>
        <v/>
      </c>
    </row>
    <row r="81" spans="1:24" hidden="1">
      <c r="A81" s="25"/>
      <c r="B81" s="78"/>
      <c r="C81" s="78"/>
      <c r="D81" s="78"/>
      <c r="E81" s="78"/>
      <c r="F81" s="79"/>
      <c r="G81" s="57"/>
      <c r="H81" s="57"/>
      <c r="I81" s="57"/>
      <c r="J81" s="57"/>
      <c r="K81" s="80"/>
      <c r="L81" s="57"/>
      <c r="M81" s="57"/>
      <c r="N81" s="57"/>
      <c r="O81" s="62"/>
      <c r="P81" s="1" t="str">
        <f t="shared" si="7"/>
        <v/>
      </c>
    </row>
    <row r="82" spans="1:24" hidden="1">
      <c r="A82" s="25"/>
      <c r="B82" s="33"/>
      <c r="C82" s="33"/>
      <c r="D82" s="33"/>
      <c r="E82" s="33"/>
      <c r="F82" s="33"/>
      <c r="G82" s="39"/>
      <c r="H82" s="39"/>
      <c r="I82" s="39"/>
      <c r="J82" s="39"/>
      <c r="K82" s="39"/>
      <c r="L82" s="39"/>
      <c r="M82" s="39"/>
      <c r="N82" s="39"/>
      <c r="O82" s="49"/>
      <c r="P82" s="1" t="str">
        <f t="shared" si="7"/>
        <v/>
      </c>
    </row>
    <row r="83" spans="1:24" hidden="1">
      <c r="A83" s="25"/>
      <c r="B83" s="33"/>
      <c r="C83" s="33"/>
      <c r="D83" s="33"/>
      <c r="E83" s="33"/>
      <c r="F83" s="33"/>
      <c r="G83" s="39"/>
      <c r="H83" s="39"/>
      <c r="I83" s="39"/>
      <c r="J83" s="39"/>
      <c r="K83" s="39"/>
      <c r="L83" s="39"/>
      <c r="M83" s="39"/>
      <c r="N83" s="39"/>
      <c r="O83" s="49"/>
      <c r="P83" s="1" t="str">
        <f t="shared" si="7"/>
        <v/>
      </c>
    </row>
    <row r="84" spans="1:24" hidden="1">
      <c r="A84" s="25"/>
      <c r="B84" s="33"/>
      <c r="C84" s="33"/>
      <c r="D84" s="33"/>
      <c r="E84" s="33"/>
      <c r="F84" s="33"/>
      <c r="G84" s="39"/>
      <c r="H84" s="39"/>
      <c r="I84" s="39"/>
      <c r="J84" s="39"/>
      <c r="K84" s="39"/>
      <c r="L84" s="39"/>
      <c r="M84" s="39"/>
      <c r="N84" s="39"/>
      <c r="O84" s="49"/>
      <c r="P84" s="1" t="str">
        <f t="shared" si="7"/>
        <v/>
      </c>
    </row>
    <row r="85" spans="1:24" hidden="1">
      <c r="A85" s="25"/>
      <c r="B85" s="33"/>
      <c r="C85" s="33"/>
      <c r="D85" s="33"/>
      <c r="E85" s="33"/>
      <c r="F85" s="33"/>
      <c r="G85" s="39"/>
      <c r="H85" s="39"/>
      <c r="I85" s="39"/>
      <c r="J85" s="39"/>
      <c r="K85" s="39"/>
      <c r="L85" s="39"/>
      <c r="M85" s="39"/>
      <c r="N85" s="39"/>
      <c r="O85" s="49"/>
      <c r="P85" s="1" t="str">
        <f t="shared" si="7"/>
        <v/>
      </c>
    </row>
    <row r="86" spans="1:24" hidden="1">
      <c r="A86" s="25"/>
      <c r="B86" s="33"/>
      <c r="C86" s="33"/>
      <c r="D86" s="33"/>
      <c r="E86" s="33"/>
      <c r="F86" s="33"/>
      <c r="G86" s="39"/>
      <c r="H86" s="39"/>
      <c r="I86" s="39"/>
      <c r="J86" s="39"/>
      <c r="K86" s="39"/>
      <c r="L86" s="39"/>
      <c r="M86" s="39"/>
      <c r="N86" s="39"/>
      <c r="O86" s="49"/>
      <c r="P86" s="1" t="str">
        <f t="shared" si="7"/>
        <v/>
      </c>
    </row>
    <row r="87" spans="1:24" hidden="1">
      <c r="A87" s="25"/>
      <c r="B87" s="33"/>
      <c r="C87" s="33"/>
      <c r="D87" s="33"/>
      <c r="E87" s="33"/>
      <c r="F87" s="33"/>
      <c r="G87" s="39"/>
      <c r="H87" s="39"/>
      <c r="I87" s="39"/>
      <c r="J87" s="39"/>
      <c r="K87" s="39"/>
      <c r="L87" s="39"/>
      <c r="M87" s="39"/>
      <c r="N87" s="39"/>
      <c r="O87" s="49"/>
      <c r="P87" s="1" t="str">
        <f t="shared" si="7"/>
        <v/>
      </c>
    </row>
    <row r="88" spans="1:24" hidden="1">
      <c r="B88" s="33"/>
      <c r="C88" s="33"/>
      <c r="D88" s="33"/>
      <c r="E88" s="33"/>
      <c r="F88" s="33"/>
      <c r="G88" s="39"/>
      <c r="H88" s="39"/>
      <c r="I88" s="39"/>
      <c r="J88" s="39"/>
      <c r="K88" s="39"/>
      <c r="L88" s="39"/>
      <c r="M88" s="39"/>
      <c r="N88" s="39"/>
      <c r="O88" s="49"/>
      <c r="P88" s="1" t="str">
        <f t="shared" si="7"/>
        <v/>
      </c>
    </row>
    <row r="89" spans="1:24" hidden="1">
      <c r="B89" s="33"/>
      <c r="C89" s="33"/>
      <c r="D89" s="33"/>
      <c r="E89" s="33"/>
      <c r="F89" s="33"/>
      <c r="G89" s="39"/>
      <c r="H89" s="39"/>
      <c r="I89" s="39"/>
      <c r="J89" s="39"/>
      <c r="K89" s="39"/>
      <c r="L89" s="39"/>
      <c r="M89" s="39"/>
      <c r="N89" s="39"/>
      <c r="O89" s="49"/>
      <c r="P89" s="1" t="str">
        <f t="shared" si="7"/>
        <v/>
      </c>
      <c r="R89" s="64"/>
      <c r="S89" s="64"/>
      <c r="T89" s="64"/>
      <c r="U89" s="64"/>
      <c r="V89" s="64"/>
      <c r="W89" s="64"/>
      <c r="X89" s="64"/>
    </row>
    <row r="90" spans="1:24" ht="12" hidden="1" customHeight="1">
      <c r="A90" s="25"/>
      <c r="B90" s="33"/>
      <c r="C90" s="33"/>
      <c r="D90" s="33"/>
      <c r="E90" s="33"/>
      <c r="F90" s="36"/>
      <c r="G90" s="39"/>
      <c r="H90" s="39"/>
      <c r="I90" s="39"/>
      <c r="J90" s="39"/>
      <c r="K90" s="39"/>
      <c r="L90" s="39"/>
      <c r="M90" s="39"/>
      <c r="N90" s="39"/>
      <c r="O90" s="49"/>
      <c r="P90" s="1" t="str">
        <f t="shared" si="7"/>
        <v/>
      </c>
    </row>
    <row r="91" spans="1:24" hidden="1">
      <c r="A91" s="25"/>
      <c r="B91" s="33"/>
      <c r="C91" s="33"/>
      <c r="D91" s="33"/>
      <c r="E91" s="33"/>
      <c r="F91" s="36"/>
      <c r="G91" s="39"/>
      <c r="H91" s="39"/>
      <c r="I91" s="39"/>
      <c r="J91" s="39"/>
      <c r="K91" s="39"/>
      <c r="L91" s="39"/>
      <c r="M91" s="39"/>
      <c r="N91" s="39"/>
      <c r="O91" s="49"/>
      <c r="P91" s="1" t="str">
        <f t="shared" si="7"/>
        <v/>
      </c>
    </row>
    <row r="92" spans="1:24" hidden="1">
      <c r="A92" s="25"/>
      <c r="B92" s="33"/>
      <c r="C92" s="33"/>
      <c r="D92" s="33"/>
      <c r="E92" s="33"/>
      <c r="F92" s="36"/>
      <c r="G92" s="39"/>
      <c r="H92" s="39"/>
      <c r="I92" s="39"/>
      <c r="J92" s="39"/>
      <c r="K92" s="39"/>
      <c r="L92" s="39"/>
      <c r="M92" s="39"/>
      <c r="N92" s="39"/>
      <c r="O92" s="49"/>
      <c r="P92" s="1" t="str">
        <f t="shared" si="7"/>
        <v/>
      </c>
    </row>
    <row r="93" spans="1:24" hidden="1">
      <c r="A93" s="25"/>
      <c r="B93" s="34"/>
      <c r="C93" s="34"/>
      <c r="D93" s="34"/>
      <c r="E93" s="34"/>
      <c r="F93" s="34"/>
      <c r="G93" s="39"/>
      <c r="H93" s="39"/>
      <c r="I93" s="39"/>
      <c r="J93" s="39"/>
      <c r="K93" s="39"/>
      <c r="L93" s="39"/>
      <c r="M93" s="39"/>
      <c r="N93" s="39"/>
      <c r="O93" s="49"/>
      <c r="P93" s="1" t="str">
        <f t="shared" si="7"/>
        <v/>
      </c>
    </row>
    <row r="94" spans="1:24" hidden="1">
      <c r="A94" s="25"/>
      <c r="B94" s="34"/>
      <c r="C94" s="34"/>
      <c r="D94" s="34"/>
      <c r="E94" s="34"/>
      <c r="F94" s="34"/>
      <c r="G94" s="39"/>
      <c r="H94" s="39"/>
      <c r="I94" s="39"/>
      <c r="J94" s="39"/>
      <c r="K94" s="39"/>
      <c r="L94" s="39"/>
      <c r="M94" s="39"/>
      <c r="N94" s="39"/>
      <c r="O94" s="49"/>
      <c r="P94" s="1" t="str">
        <f t="shared" si="7"/>
        <v/>
      </c>
    </row>
    <row r="95" spans="1:24" hidden="1">
      <c r="A95" s="25"/>
      <c r="B95" s="34"/>
      <c r="C95" s="34"/>
      <c r="D95" s="34"/>
      <c r="E95" s="34"/>
      <c r="F95" s="34"/>
      <c r="G95" s="39"/>
      <c r="H95" s="39"/>
      <c r="I95" s="39"/>
      <c r="J95" s="39"/>
      <c r="K95" s="39"/>
      <c r="L95" s="39"/>
      <c r="M95" s="39"/>
      <c r="N95" s="39"/>
      <c r="O95" s="49"/>
      <c r="P95" s="1" t="str">
        <f t="shared" si="7"/>
        <v/>
      </c>
    </row>
    <row r="96" spans="1:24" hidden="1">
      <c r="A96" s="25"/>
      <c r="B96" s="34"/>
      <c r="C96" s="34"/>
      <c r="D96" s="34"/>
      <c r="E96" s="34"/>
      <c r="F96" s="34"/>
      <c r="G96" s="39"/>
      <c r="H96" s="39"/>
      <c r="I96" s="39"/>
      <c r="J96" s="39"/>
      <c r="K96" s="39"/>
      <c r="L96" s="39"/>
      <c r="M96" s="39"/>
      <c r="N96" s="39"/>
      <c r="O96" s="49"/>
      <c r="P96" s="1" t="str">
        <f t="shared" si="7"/>
        <v/>
      </c>
    </row>
    <row r="97" spans="1:16" hidden="1">
      <c r="A97" s="25"/>
      <c r="B97" s="33"/>
      <c r="C97" s="33"/>
      <c r="D97" s="33"/>
      <c r="E97" s="33"/>
      <c r="F97" s="33"/>
      <c r="G97" s="39"/>
      <c r="H97" s="39"/>
      <c r="I97" s="39"/>
      <c r="J97" s="39"/>
      <c r="K97" s="39"/>
      <c r="L97" s="39"/>
      <c r="M97" s="39"/>
      <c r="N97" s="39"/>
      <c r="O97" s="49"/>
      <c r="P97" s="1" t="str">
        <f t="shared" si="7"/>
        <v/>
      </c>
    </row>
    <row r="98" spans="1:16" hidden="1">
      <c r="A98" s="25"/>
      <c r="B98" s="33"/>
      <c r="C98" s="33"/>
      <c r="D98" s="33"/>
      <c r="E98" s="33"/>
      <c r="F98" s="33"/>
      <c r="G98" s="39"/>
      <c r="H98" s="39"/>
      <c r="I98" s="39"/>
      <c r="J98" s="39"/>
      <c r="K98" s="39"/>
      <c r="L98" s="39"/>
      <c r="M98" s="39"/>
      <c r="N98" s="39"/>
      <c r="O98" s="49"/>
      <c r="P98" s="1" t="str">
        <f t="shared" si="7"/>
        <v/>
      </c>
    </row>
    <row r="99" spans="1:16" hidden="1">
      <c r="A99" s="25"/>
      <c r="B99" s="33"/>
      <c r="C99" s="33"/>
      <c r="D99" s="33"/>
      <c r="E99" s="33"/>
      <c r="F99" s="33"/>
      <c r="G99" s="39"/>
      <c r="H99" s="39"/>
      <c r="I99" s="39"/>
      <c r="J99" s="39"/>
      <c r="K99" s="39"/>
      <c r="L99" s="39"/>
      <c r="M99" s="39"/>
      <c r="N99" s="39"/>
      <c r="O99" s="49"/>
      <c r="P99" s="1" t="str">
        <f t="shared" si="7"/>
        <v/>
      </c>
    </row>
    <row r="100" spans="1:16" hidden="1">
      <c r="A100" s="25"/>
      <c r="B100" s="33"/>
      <c r="C100" s="33"/>
      <c r="D100" s="33"/>
      <c r="E100" s="33"/>
      <c r="F100" s="33"/>
      <c r="G100" s="39"/>
      <c r="H100" s="39"/>
      <c r="I100" s="39"/>
      <c r="J100" s="39"/>
      <c r="K100" s="39"/>
      <c r="L100" s="39"/>
      <c r="M100" s="39"/>
      <c r="N100" s="39"/>
      <c r="O100" s="49"/>
      <c r="P100" s="1" t="str">
        <f t="shared" si="7"/>
        <v/>
      </c>
    </row>
    <row r="101" spans="1:16" hidden="1">
      <c r="A101" s="25"/>
      <c r="B101" s="33"/>
      <c r="C101" s="33"/>
      <c r="D101" s="33"/>
      <c r="E101" s="33"/>
      <c r="F101" s="33"/>
      <c r="G101" s="39"/>
      <c r="H101" s="39"/>
      <c r="I101" s="39"/>
      <c r="J101" s="39"/>
      <c r="K101" s="39"/>
      <c r="L101" s="39"/>
      <c r="M101" s="39"/>
      <c r="N101" s="39"/>
      <c r="O101" s="49"/>
      <c r="P101" s="1" t="str">
        <f t="shared" si="7"/>
        <v/>
      </c>
    </row>
    <row r="102" spans="1:16" hidden="1">
      <c r="A102" s="25"/>
      <c r="B102" s="33"/>
      <c r="C102" s="33"/>
      <c r="D102" s="33"/>
      <c r="E102" s="33"/>
      <c r="F102" s="33"/>
      <c r="G102" s="39"/>
      <c r="H102" s="39"/>
      <c r="I102" s="39"/>
      <c r="J102" s="39"/>
      <c r="K102" s="39"/>
      <c r="L102" s="39"/>
      <c r="M102" s="39"/>
      <c r="N102" s="39"/>
      <c r="O102" s="49"/>
      <c r="P102" s="1" t="str">
        <f>IF(M104&gt;0.49,"*","")</f>
        <v/>
      </c>
    </row>
    <row r="103" spans="1:16" hidden="1">
      <c r="A103" s="25"/>
      <c r="B103" s="33"/>
      <c r="C103" s="33"/>
      <c r="D103" s="33"/>
      <c r="E103" s="33"/>
      <c r="F103" s="33"/>
      <c r="G103" s="39"/>
      <c r="H103" s="39"/>
      <c r="I103" s="39"/>
      <c r="J103" s="39"/>
      <c r="K103" s="39"/>
      <c r="L103" s="39"/>
      <c r="M103" s="39"/>
      <c r="N103" s="39"/>
      <c r="O103" s="49"/>
      <c r="P103" s="1" t="str">
        <f>IF(M105&gt;0.49,"*","")</f>
        <v/>
      </c>
    </row>
    <row r="104" spans="1:16" hidden="1">
      <c r="A104" s="25"/>
      <c r="B104" s="33"/>
      <c r="C104" s="33"/>
      <c r="D104" s="33"/>
      <c r="E104" s="33"/>
      <c r="F104" s="33"/>
      <c r="G104" s="39"/>
      <c r="H104" s="39"/>
      <c r="I104" s="39"/>
      <c r="J104" s="39"/>
      <c r="K104" s="39"/>
      <c r="L104" s="39"/>
      <c r="M104" s="39"/>
      <c r="N104" s="39"/>
      <c r="O104" s="49"/>
      <c r="P104" s="1" t="str">
        <f>IF(M106&gt;0.49,"*","")</f>
        <v/>
      </c>
    </row>
    <row r="105" spans="1:16">
      <c r="A105" s="25"/>
      <c r="B105" s="33"/>
      <c r="C105" s="33"/>
      <c r="D105" s="33"/>
      <c r="E105" s="33"/>
      <c r="F105" s="33"/>
      <c r="G105" s="39"/>
      <c r="H105" s="39"/>
      <c r="I105" s="39"/>
      <c r="J105" s="39"/>
      <c r="K105" s="39"/>
      <c r="L105" s="39"/>
      <c r="M105" s="39"/>
      <c r="N105" s="39"/>
      <c r="O105" s="49"/>
      <c r="P105" s="1" t="str">
        <f>IF(M108&gt;0.49,"*","")</f>
        <v>*</v>
      </c>
    </row>
    <row r="106" spans="1:16">
      <c r="A106" s="25"/>
      <c r="B106" s="33"/>
      <c r="C106" s="33"/>
      <c r="D106" s="33"/>
      <c r="E106" s="33"/>
      <c r="F106" s="33"/>
      <c r="G106" s="39"/>
      <c r="H106" s="39"/>
      <c r="I106" s="39"/>
      <c r="J106" s="39"/>
      <c r="K106" s="39"/>
      <c r="L106" s="39"/>
      <c r="M106" s="39"/>
      <c r="N106" s="39"/>
      <c r="O106" s="49"/>
      <c r="P106" s="1" t="s">
        <v>64</v>
      </c>
    </row>
    <row r="107" spans="1:16" hidden="1">
      <c r="A107" s="25"/>
      <c r="B107" s="36"/>
      <c r="C107" s="36"/>
      <c r="D107" s="36"/>
      <c r="E107" s="36"/>
      <c r="F107" s="36"/>
      <c r="G107" s="39"/>
      <c r="H107" s="39"/>
      <c r="I107" s="39"/>
      <c r="J107" s="57"/>
      <c r="K107" s="57"/>
      <c r="L107" s="57"/>
      <c r="M107" s="57"/>
      <c r="N107" s="57"/>
      <c r="O107" s="57"/>
    </row>
    <row r="108" spans="1:16" hidden="1">
      <c r="A108" s="25"/>
      <c r="B108" s="31"/>
      <c r="C108" s="31"/>
      <c r="D108" s="31"/>
      <c r="E108" s="31"/>
      <c r="F108" s="31"/>
      <c r="G108" s="39">
        <f>SUM(G8:G106)</f>
        <v>0</v>
      </c>
      <c r="H108" s="39"/>
      <c r="I108" s="39">
        <f>SUM(I8:I106)</f>
        <v>0</v>
      </c>
      <c r="J108" s="57"/>
      <c r="K108" s="57">
        <f>SUM(K8:K106)</f>
        <v>1158677.2570221291</v>
      </c>
      <c r="L108" s="57"/>
      <c r="M108" s="57">
        <f>SUM(M8:M106)</f>
        <v>1128048.6184037831</v>
      </c>
      <c r="N108" s="57"/>
      <c r="O108" s="57"/>
    </row>
    <row r="109" spans="1:16" hidden="1">
      <c r="A109" s="25"/>
      <c r="B109" s="25"/>
      <c r="C109" s="25"/>
      <c r="D109" s="25"/>
      <c r="E109" s="25"/>
      <c r="F109" s="25"/>
      <c r="G109" s="35"/>
      <c r="H109" s="35"/>
      <c r="I109" s="35"/>
      <c r="J109" s="35"/>
      <c r="K109" s="35"/>
      <c r="L109" s="35"/>
      <c r="M109" s="35"/>
      <c r="N109" s="35"/>
      <c r="O109" s="35"/>
    </row>
    <row r="110" spans="1:16" hidden="1">
      <c r="A110" s="25"/>
      <c r="B110" s="25"/>
      <c r="C110" s="25"/>
      <c r="D110" s="25"/>
      <c r="E110" s="25"/>
      <c r="F110" s="25"/>
      <c r="G110" s="35"/>
      <c r="H110" s="35"/>
      <c r="I110" s="35"/>
      <c r="J110" s="35"/>
      <c r="K110" s="35"/>
      <c r="L110" s="35"/>
      <c r="M110" s="35"/>
      <c r="N110" s="35"/>
      <c r="O110" s="35"/>
    </row>
    <row r="111" spans="1:16" hidden="1">
      <c r="A111" s="25"/>
      <c r="B111" s="25"/>
      <c r="C111" s="25"/>
      <c r="D111" s="25"/>
      <c r="E111" s="25"/>
      <c r="F111" s="25"/>
      <c r="G111" s="35"/>
      <c r="H111" s="35"/>
      <c r="I111" s="35"/>
      <c r="J111" s="35"/>
      <c r="K111" s="35"/>
      <c r="L111" s="35"/>
      <c r="M111" s="35"/>
      <c r="N111" s="35"/>
      <c r="O111" s="35"/>
    </row>
    <row r="112" spans="1:16" hidden="1">
      <c r="A112" s="25"/>
      <c r="B112" s="25"/>
      <c r="C112" s="25"/>
      <c r="D112" s="25"/>
      <c r="E112" s="25"/>
      <c r="F112" s="25"/>
      <c r="G112" s="35"/>
      <c r="H112" s="35"/>
      <c r="I112" s="35"/>
      <c r="J112" s="35"/>
      <c r="K112" s="35"/>
      <c r="L112" s="35"/>
      <c r="M112" s="35"/>
      <c r="N112" s="35"/>
      <c r="O112" s="35"/>
    </row>
    <row r="113" spans="1:15" hidden="1">
      <c r="A113" s="25"/>
      <c r="B113" s="25"/>
      <c r="C113" s="25"/>
      <c r="D113" s="25"/>
      <c r="E113" s="25"/>
      <c r="F113" s="25"/>
      <c r="G113" s="35"/>
      <c r="H113" s="35"/>
      <c r="I113" s="35"/>
      <c r="J113" s="35"/>
      <c r="K113" s="35"/>
      <c r="L113" s="35"/>
      <c r="M113" s="35"/>
      <c r="N113" s="35"/>
      <c r="O113" s="35"/>
    </row>
    <row r="114" spans="1:15" hidden="1">
      <c r="A114" s="25"/>
      <c r="B114" s="25"/>
      <c r="C114" s="25"/>
      <c r="D114" s="25"/>
      <c r="E114" s="25"/>
      <c r="F114" s="25"/>
      <c r="G114" s="35"/>
      <c r="H114" s="35"/>
      <c r="I114" s="35"/>
      <c r="J114" s="35"/>
      <c r="K114" s="35"/>
      <c r="L114" s="35"/>
      <c r="M114" s="35"/>
      <c r="N114" s="35"/>
      <c r="O114" s="35"/>
    </row>
    <row r="115" spans="1:15" hidden="1">
      <c r="A115" s="25"/>
      <c r="B115" s="25"/>
      <c r="C115" s="25"/>
      <c r="D115" s="25"/>
      <c r="E115" s="25"/>
      <c r="F115" s="25"/>
      <c r="G115" s="35"/>
      <c r="H115" s="35"/>
      <c r="I115" s="35"/>
      <c r="J115" s="35"/>
      <c r="K115" s="35"/>
      <c r="L115" s="35"/>
      <c r="M115" s="35"/>
      <c r="N115" s="35"/>
      <c r="O115" s="35"/>
    </row>
    <row r="116" spans="1:15" hidden="1">
      <c r="A116" s="25"/>
      <c r="B116" s="25"/>
      <c r="C116" s="25"/>
      <c r="D116" s="25"/>
      <c r="E116" s="25"/>
      <c r="F116" s="25"/>
      <c r="G116" s="35"/>
      <c r="H116" s="35"/>
      <c r="I116" s="35"/>
      <c r="J116" s="35"/>
      <c r="K116" s="35"/>
      <c r="L116" s="35"/>
      <c r="M116" s="35"/>
      <c r="N116" s="35"/>
      <c r="O116" s="35"/>
    </row>
    <row r="117" spans="1:15" hidden="1">
      <c r="A117" s="25"/>
      <c r="B117" s="25"/>
      <c r="C117" s="25"/>
      <c r="D117" s="25"/>
      <c r="E117" s="25"/>
      <c r="F117" s="25"/>
      <c r="G117" s="35"/>
      <c r="H117" s="35"/>
      <c r="I117" s="35"/>
      <c r="J117" s="35"/>
      <c r="K117" s="35"/>
      <c r="L117" s="35"/>
      <c r="M117" s="35"/>
      <c r="N117" s="35"/>
      <c r="O117" s="35"/>
    </row>
    <row r="118" spans="1:15" hidden="1">
      <c r="A118" s="25"/>
      <c r="B118" s="25"/>
      <c r="C118" s="25"/>
      <c r="D118" s="25"/>
      <c r="E118" s="25"/>
      <c r="F118" s="25"/>
      <c r="G118" s="35"/>
      <c r="H118" s="35"/>
      <c r="I118" s="35"/>
      <c r="J118" s="35"/>
      <c r="K118" s="35"/>
      <c r="L118" s="35"/>
      <c r="M118" s="35"/>
      <c r="N118" s="35"/>
      <c r="O118" s="35"/>
    </row>
    <row r="119" spans="1:15" hidden="1">
      <c r="A119" s="25"/>
      <c r="B119" s="25"/>
      <c r="C119" s="25"/>
      <c r="D119" s="25"/>
      <c r="E119" s="25"/>
      <c r="F119" s="25"/>
      <c r="G119" s="35"/>
      <c r="H119" s="35"/>
      <c r="I119" s="35"/>
      <c r="J119" s="35"/>
      <c r="K119" s="35"/>
      <c r="L119" s="35"/>
      <c r="M119" s="35"/>
      <c r="N119" s="35"/>
      <c r="O119" s="35"/>
    </row>
    <row r="120" spans="1:15" hidden="1">
      <c r="A120" s="25"/>
      <c r="B120" s="25"/>
      <c r="C120" s="25"/>
      <c r="D120" s="25"/>
      <c r="E120" s="25"/>
      <c r="F120" s="25"/>
      <c r="G120" s="35"/>
      <c r="H120" s="35"/>
      <c r="I120" s="35"/>
      <c r="J120" s="35"/>
      <c r="K120" s="35"/>
      <c r="L120" s="35"/>
      <c r="M120" s="35"/>
      <c r="N120" s="35"/>
      <c r="O120" s="35"/>
    </row>
    <row r="121" spans="1:15" hidden="1">
      <c r="A121" s="25"/>
      <c r="B121" s="25"/>
      <c r="C121" s="25"/>
      <c r="D121" s="25"/>
      <c r="E121" s="25"/>
      <c r="F121" s="25"/>
      <c r="G121" s="35"/>
      <c r="H121" s="35"/>
      <c r="I121" s="35"/>
      <c r="J121" s="35"/>
      <c r="K121" s="35"/>
      <c r="L121" s="35"/>
      <c r="M121" s="35"/>
      <c r="N121" s="35"/>
      <c r="O121" s="35"/>
    </row>
    <row r="122" spans="1:15" hidden="1">
      <c r="A122" s="25"/>
      <c r="B122" s="25"/>
      <c r="C122" s="25"/>
      <c r="D122" s="25"/>
      <c r="E122" s="25"/>
      <c r="F122" s="25"/>
      <c r="G122" s="35"/>
      <c r="H122" s="35"/>
      <c r="I122" s="35"/>
      <c r="J122" s="35"/>
      <c r="K122" s="35"/>
      <c r="L122" s="35"/>
      <c r="M122" s="35"/>
      <c r="N122" s="35"/>
      <c r="O122" s="35"/>
    </row>
    <row r="123" spans="1:15" hidden="1">
      <c r="A123" s="25"/>
      <c r="B123" s="25"/>
      <c r="C123" s="25"/>
      <c r="D123" s="25"/>
      <c r="E123" s="25"/>
      <c r="F123" s="25"/>
      <c r="G123" s="35"/>
      <c r="H123" s="35"/>
      <c r="I123" s="35"/>
      <c r="J123" s="35"/>
      <c r="K123" s="35"/>
      <c r="L123" s="35"/>
      <c r="M123" s="35"/>
      <c r="N123" s="35"/>
      <c r="O123" s="35"/>
    </row>
    <row r="124" spans="1:15" hidden="1">
      <c r="A124" s="25"/>
      <c r="B124" s="25"/>
      <c r="C124" s="25"/>
      <c r="D124" s="25"/>
      <c r="E124" s="25"/>
      <c r="F124" s="25"/>
      <c r="G124" s="35"/>
      <c r="H124" s="35"/>
      <c r="I124" s="35"/>
      <c r="J124" s="35"/>
      <c r="K124" s="35"/>
      <c r="L124" s="35"/>
      <c r="M124" s="35"/>
      <c r="N124" s="35"/>
      <c r="O124" s="35"/>
    </row>
    <row r="125" spans="1:15" hidden="1">
      <c r="A125" s="25"/>
      <c r="B125" s="25"/>
      <c r="C125" s="25"/>
      <c r="D125" s="25"/>
      <c r="E125" s="25"/>
      <c r="F125" s="25"/>
      <c r="G125" s="35"/>
      <c r="H125" s="35"/>
      <c r="I125" s="35"/>
      <c r="J125" s="35"/>
      <c r="K125" s="35"/>
      <c r="L125" s="35"/>
      <c r="M125" s="35"/>
      <c r="N125" s="35"/>
      <c r="O125" s="35"/>
    </row>
    <row r="126" spans="1:15" hidden="1">
      <c r="A126" s="25"/>
      <c r="B126" s="25"/>
      <c r="C126" s="25"/>
      <c r="D126" s="25"/>
      <c r="E126" s="25"/>
      <c r="F126" s="25"/>
      <c r="G126" s="35"/>
      <c r="H126" s="35"/>
      <c r="I126" s="35"/>
      <c r="J126" s="35"/>
      <c r="K126" s="35"/>
      <c r="L126" s="35"/>
      <c r="M126" s="35"/>
      <c r="N126" s="35"/>
      <c r="O126" s="35"/>
    </row>
    <row r="127" spans="1:15" hidden="1">
      <c r="A127" s="25"/>
      <c r="B127" s="25"/>
      <c r="C127" s="25"/>
      <c r="D127" s="25"/>
      <c r="E127" s="25"/>
      <c r="F127" s="25"/>
      <c r="G127" s="35"/>
      <c r="H127" s="35"/>
      <c r="I127" s="35"/>
      <c r="J127" s="35"/>
      <c r="K127" s="35"/>
      <c r="L127" s="35"/>
      <c r="M127" s="35"/>
      <c r="N127" s="35"/>
      <c r="O127" s="35"/>
    </row>
    <row r="128" spans="1:15" hidden="1">
      <c r="A128" s="25"/>
      <c r="B128" s="25"/>
      <c r="C128" s="25"/>
      <c r="D128" s="25"/>
      <c r="E128" s="25"/>
      <c r="F128" s="25"/>
      <c r="G128" s="35"/>
      <c r="H128" s="35"/>
      <c r="I128" s="35"/>
      <c r="J128" s="35"/>
      <c r="K128" s="35"/>
      <c r="L128" s="35"/>
      <c r="M128" s="35"/>
      <c r="N128" s="35"/>
      <c r="O128" s="35"/>
    </row>
    <row r="129" spans="1:15" hidden="1">
      <c r="A129" s="25"/>
      <c r="B129" s="25"/>
      <c r="C129" s="25"/>
      <c r="D129" s="25"/>
      <c r="E129" s="25"/>
      <c r="F129" s="25"/>
      <c r="G129" s="35"/>
      <c r="H129" s="35"/>
      <c r="I129" s="35"/>
      <c r="J129" s="35"/>
      <c r="K129" s="35"/>
      <c r="L129" s="35"/>
      <c r="M129" s="35"/>
      <c r="N129" s="35"/>
      <c r="O129" s="35"/>
    </row>
    <row r="130" spans="1:15" hidden="1">
      <c r="A130" s="25"/>
      <c r="B130" s="25"/>
      <c r="C130" s="25"/>
      <c r="D130" s="25"/>
      <c r="E130" s="25"/>
      <c r="F130" s="25"/>
      <c r="G130" s="35"/>
      <c r="H130" s="35"/>
      <c r="I130" s="35"/>
      <c r="J130" s="35"/>
      <c r="K130" s="35"/>
      <c r="L130" s="35"/>
      <c r="M130" s="35"/>
      <c r="N130" s="35"/>
      <c r="O130" s="35"/>
    </row>
    <row r="131" spans="1:15" hidden="1">
      <c r="A131" s="25"/>
      <c r="B131" s="25"/>
      <c r="C131" s="25"/>
      <c r="D131" s="25"/>
      <c r="E131" s="25"/>
      <c r="F131" s="25"/>
      <c r="G131" s="35"/>
      <c r="H131" s="35"/>
      <c r="I131" s="35"/>
      <c r="J131" s="35"/>
      <c r="K131" s="35"/>
      <c r="L131" s="35"/>
      <c r="M131" s="35"/>
      <c r="N131" s="35"/>
      <c r="O131" s="35"/>
    </row>
    <row r="132" spans="1:15" hidden="1">
      <c r="A132" s="25"/>
      <c r="B132" s="25"/>
      <c r="C132" s="25"/>
      <c r="D132" s="25"/>
      <c r="E132" s="25"/>
      <c r="F132" s="25"/>
      <c r="G132" s="35"/>
      <c r="H132" s="35"/>
      <c r="I132" s="35"/>
      <c r="J132" s="35"/>
      <c r="K132" s="35"/>
      <c r="L132" s="35"/>
      <c r="M132" s="35"/>
      <c r="N132" s="35"/>
      <c r="O132" s="35"/>
    </row>
    <row r="133" spans="1:15" hidden="1">
      <c r="A133" s="25"/>
      <c r="B133" s="25"/>
      <c r="C133" s="25"/>
      <c r="D133" s="25"/>
      <c r="E133" s="25"/>
      <c r="F133" s="25"/>
      <c r="G133" s="35"/>
      <c r="H133" s="35"/>
      <c r="I133" s="35"/>
      <c r="J133" s="35"/>
      <c r="K133" s="35"/>
      <c r="L133" s="35"/>
      <c r="M133" s="35"/>
      <c r="N133" s="35"/>
      <c r="O133" s="35"/>
    </row>
    <row r="134" spans="1:15" hidden="1">
      <c r="A134" s="25"/>
      <c r="B134" s="25"/>
      <c r="C134" s="25"/>
      <c r="D134" s="25"/>
      <c r="E134" s="25"/>
      <c r="F134" s="25"/>
      <c r="G134" s="35"/>
      <c r="H134" s="35"/>
      <c r="I134" s="35"/>
      <c r="J134" s="35"/>
      <c r="K134" s="35"/>
      <c r="L134" s="35"/>
      <c r="M134" s="35"/>
      <c r="N134" s="35"/>
      <c r="O134" s="35"/>
    </row>
    <row r="135" spans="1:15" hidden="1">
      <c r="A135" s="25"/>
      <c r="B135" s="25"/>
      <c r="C135" s="25"/>
      <c r="D135" s="25"/>
      <c r="E135" s="25"/>
      <c r="F135" s="25"/>
      <c r="G135" s="35"/>
      <c r="H135" s="35"/>
      <c r="I135" s="35"/>
      <c r="J135" s="35"/>
      <c r="K135" s="35"/>
      <c r="L135" s="35"/>
      <c r="M135" s="35"/>
      <c r="N135" s="35"/>
      <c r="O135" s="35"/>
    </row>
    <row r="136" spans="1:15" hidden="1">
      <c r="A136" s="25"/>
      <c r="B136" s="25"/>
      <c r="C136" s="25"/>
      <c r="D136" s="25"/>
      <c r="E136" s="25"/>
      <c r="F136" s="25"/>
      <c r="G136" s="35"/>
      <c r="H136" s="35"/>
      <c r="I136" s="35"/>
      <c r="J136" s="35"/>
      <c r="K136" s="35"/>
      <c r="L136" s="35"/>
      <c r="M136" s="35"/>
      <c r="N136" s="35"/>
      <c r="O136" s="35"/>
    </row>
    <row r="137" spans="1:15" hidden="1">
      <c r="A137" s="25"/>
      <c r="B137" s="25"/>
      <c r="C137" s="25"/>
      <c r="D137" s="25"/>
      <c r="E137" s="25"/>
      <c r="F137" s="25"/>
      <c r="G137" s="35"/>
      <c r="H137" s="35"/>
      <c r="I137" s="35"/>
      <c r="J137" s="35"/>
      <c r="K137" s="35"/>
      <c r="L137" s="35"/>
      <c r="M137" s="35"/>
      <c r="N137" s="35"/>
      <c r="O137" s="35"/>
    </row>
    <row r="138" spans="1:15" hidden="1">
      <c r="A138" s="25"/>
      <c r="B138" s="25"/>
      <c r="C138" s="25"/>
      <c r="D138" s="25"/>
      <c r="E138" s="25"/>
      <c r="F138" s="25"/>
      <c r="G138" s="35"/>
      <c r="H138" s="35"/>
      <c r="I138" s="35"/>
      <c r="J138" s="35"/>
      <c r="K138" s="35"/>
      <c r="L138" s="35"/>
      <c r="M138" s="35"/>
      <c r="N138" s="35"/>
      <c r="O138" s="35"/>
    </row>
    <row r="139" spans="1:15" hidden="1">
      <c r="A139" s="25"/>
      <c r="B139" s="25"/>
      <c r="C139" s="25"/>
      <c r="D139" s="25"/>
      <c r="E139" s="25"/>
      <c r="F139" s="25"/>
      <c r="G139" s="35"/>
      <c r="H139" s="35"/>
      <c r="I139" s="35"/>
      <c r="J139" s="35"/>
      <c r="K139" s="35"/>
      <c r="L139" s="35"/>
      <c r="M139" s="35"/>
      <c r="N139" s="35"/>
      <c r="O139" s="35"/>
    </row>
    <row r="140" spans="1:15" hidden="1">
      <c r="A140" s="25"/>
      <c r="B140" s="25"/>
      <c r="C140" s="25"/>
      <c r="D140" s="25"/>
      <c r="E140" s="25"/>
      <c r="F140" s="25"/>
      <c r="G140" s="35"/>
      <c r="H140" s="35"/>
      <c r="I140" s="35"/>
      <c r="J140" s="35"/>
      <c r="K140" s="35"/>
      <c r="L140" s="35"/>
      <c r="M140" s="35"/>
      <c r="N140" s="35"/>
      <c r="O140" s="35"/>
    </row>
    <row r="141" spans="1:15" hidden="1">
      <c r="A141" s="25"/>
      <c r="B141" s="25"/>
      <c r="C141" s="25"/>
      <c r="D141" s="25"/>
      <c r="E141" s="25"/>
      <c r="F141" s="25"/>
      <c r="G141" s="35"/>
      <c r="H141" s="35"/>
      <c r="I141" s="35"/>
      <c r="J141" s="35"/>
      <c r="K141" s="35"/>
      <c r="L141" s="35"/>
      <c r="M141" s="35"/>
      <c r="N141" s="35"/>
      <c r="O141" s="35"/>
    </row>
    <row r="142" spans="1:15" hidden="1">
      <c r="A142" s="25"/>
      <c r="B142" s="25"/>
      <c r="C142" s="25"/>
      <c r="D142" s="25"/>
      <c r="E142" s="25"/>
      <c r="F142" s="25"/>
      <c r="G142" s="25"/>
      <c r="H142" s="25"/>
      <c r="I142" s="25"/>
      <c r="J142" s="25"/>
      <c r="K142" s="25"/>
      <c r="L142" s="25"/>
      <c r="M142" s="25"/>
    </row>
    <row r="143" spans="1:15" hidden="1">
      <c r="A143" s="25"/>
      <c r="B143" s="25"/>
      <c r="C143" s="25"/>
      <c r="D143" s="25"/>
      <c r="E143" s="25"/>
      <c r="F143" s="25"/>
      <c r="G143" s="25"/>
      <c r="H143" s="25"/>
      <c r="I143" s="25"/>
      <c r="J143" s="25"/>
      <c r="K143" s="25"/>
      <c r="L143" s="25"/>
      <c r="M143" s="25"/>
    </row>
    <row r="144" spans="1:15" hidden="1">
      <c r="A144" s="25"/>
      <c r="B144" s="25"/>
      <c r="C144" s="25"/>
      <c r="D144" s="25"/>
      <c r="E144" s="25"/>
      <c r="F144" s="25"/>
      <c r="G144" s="25"/>
      <c r="H144" s="25"/>
      <c r="I144" s="25"/>
      <c r="J144" s="25"/>
      <c r="K144" s="25"/>
      <c r="L144" s="25"/>
      <c r="M144" s="25"/>
    </row>
    <row r="145" spans="1:13" hidden="1">
      <c r="A145" s="25"/>
      <c r="B145" s="25"/>
      <c r="C145" s="25"/>
      <c r="D145" s="25"/>
      <c r="E145" s="25"/>
      <c r="F145" s="25"/>
      <c r="G145" s="25"/>
      <c r="H145" s="25"/>
      <c r="I145" s="25"/>
      <c r="J145" s="25"/>
      <c r="K145" s="25"/>
      <c r="L145" s="25"/>
      <c r="M145" s="25"/>
    </row>
    <row r="146" spans="1:13" hidden="1">
      <c r="A146" s="25"/>
      <c r="B146" s="25"/>
      <c r="C146" s="25"/>
      <c r="D146" s="25"/>
      <c r="E146" s="25"/>
      <c r="F146" s="25"/>
      <c r="G146" s="25"/>
      <c r="H146" s="25"/>
      <c r="I146" s="25"/>
      <c r="J146" s="25"/>
      <c r="K146" s="25"/>
      <c r="L146" s="25"/>
      <c r="M146" s="25"/>
    </row>
    <row r="147" spans="1:13" hidden="1">
      <c r="A147" s="25"/>
      <c r="B147" s="25"/>
      <c r="C147" s="25"/>
      <c r="D147" s="25"/>
      <c r="E147" s="25"/>
      <c r="F147" s="25"/>
      <c r="G147" s="25"/>
      <c r="H147" s="25"/>
      <c r="I147" s="25"/>
      <c r="J147" s="25"/>
      <c r="K147" s="25"/>
      <c r="L147" s="25"/>
      <c r="M147" s="25"/>
    </row>
    <row r="148" spans="1:13" hidden="1">
      <c r="A148" s="25"/>
      <c r="B148" s="25"/>
      <c r="C148" s="25"/>
      <c r="D148" s="25"/>
      <c r="E148" s="25"/>
      <c r="F148" s="25"/>
      <c r="G148" s="25"/>
      <c r="H148" s="25"/>
      <c r="I148" s="25"/>
      <c r="J148" s="25"/>
      <c r="K148" s="25"/>
      <c r="L148" s="25"/>
      <c r="M148" s="25"/>
    </row>
    <row r="149" spans="1:13" hidden="1">
      <c r="A149" s="25"/>
      <c r="B149" s="25"/>
      <c r="C149" s="25"/>
      <c r="D149" s="25"/>
      <c r="E149" s="25"/>
      <c r="F149" s="25"/>
      <c r="G149" s="25"/>
      <c r="H149" s="25"/>
      <c r="I149" s="25"/>
      <c r="J149" s="25"/>
      <c r="K149" s="25"/>
      <c r="L149" s="25"/>
      <c r="M149" s="25"/>
    </row>
    <row r="150" spans="1:13" hidden="1">
      <c r="A150" s="25"/>
      <c r="B150" s="25"/>
      <c r="C150" s="25"/>
      <c r="D150" s="25"/>
      <c r="E150" s="25"/>
      <c r="F150" s="25"/>
      <c r="G150" s="25"/>
      <c r="H150" s="25"/>
      <c r="I150" s="25"/>
      <c r="J150" s="25"/>
      <c r="K150" s="25"/>
      <c r="L150" s="25"/>
      <c r="M150" s="25"/>
    </row>
    <row r="151" spans="1:13" hidden="1">
      <c r="A151" s="25"/>
      <c r="B151" s="25"/>
      <c r="C151" s="25"/>
      <c r="D151" s="25"/>
      <c r="E151" s="25"/>
      <c r="F151" s="25"/>
      <c r="G151" s="25"/>
      <c r="H151" s="25"/>
      <c r="I151" s="25"/>
      <c r="J151" s="25"/>
      <c r="K151" s="25"/>
      <c r="L151" s="25"/>
      <c r="M151" s="25"/>
    </row>
    <row r="152" spans="1:13" hidden="1">
      <c r="A152" s="25"/>
      <c r="B152" s="25"/>
      <c r="C152" s="25"/>
      <c r="D152" s="25"/>
      <c r="E152" s="25"/>
      <c r="F152" s="25"/>
      <c r="G152" s="25"/>
      <c r="H152" s="25"/>
      <c r="I152" s="25"/>
      <c r="J152" s="25"/>
      <c r="K152" s="25"/>
      <c r="L152" s="25"/>
      <c r="M152" s="25"/>
    </row>
    <row r="153" spans="1:13" hidden="1">
      <c r="A153" s="25"/>
      <c r="B153" s="25"/>
      <c r="C153" s="25"/>
      <c r="D153" s="25"/>
      <c r="E153" s="25"/>
      <c r="F153" s="25"/>
      <c r="G153" s="25"/>
      <c r="H153" s="25"/>
      <c r="I153" s="25"/>
      <c r="J153" s="25"/>
      <c r="K153" s="25"/>
      <c r="L153" s="25"/>
      <c r="M153" s="25"/>
    </row>
    <row r="154" spans="1:13" hidden="1">
      <c r="A154" s="25"/>
      <c r="B154" s="25"/>
      <c r="C154" s="25"/>
      <c r="D154" s="25"/>
      <c r="E154" s="25"/>
      <c r="F154" s="25"/>
      <c r="G154" s="25"/>
      <c r="H154" s="25"/>
      <c r="I154" s="25"/>
      <c r="J154" s="25"/>
      <c r="K154" s="25"/>
      <c r="L154" s="25"/>
      <c r="M154" s="25"/>
    </row>
    <row r="155" spans="1:13" hidden="1">
      <c r="A155" s="25"/>
      <c r="B155" s="25"/>
      <c r="C155" s="25"/>
      <c r="D155" s="25"/>
      <c r="E155" s="25"/>
      <c r="F155" s="25"/>
      <c r="G155" s="25"/>
      <c r="H155" s="25"/>
      <c r="I155" s="25"/>
      <c r="J155" s="25"/>
      <c r="K155" s="25"/>
      <c r="L155" s="25"/>
      <c r="M155" s="25"/>
    </row>
    <row r="156" spans="1:13" hidden="1">
      <c r="A156" s="25"/>
      <c r="B156" s="25"/>
      <c r="C156" s="25"/>
      <c r="D156" s="25"/>
      <c r="E156" s="25"/>
      <c r="F156" s="25"/>
      <c r="G156" s="25"/>
      <c r="H156" s="25"/>
      <c r="I156" s="25"/>
      <c r="J156" s="25"/>
      <c r="K156" s="25"/>
      <c r="L156" s="25"/>
      <c r="M156" s="25"/>
    </row>
    <row r="157" spans="1:13" hidden="1">
      <c r="A157" s="25"/>
      <c r="B157" s="25"/>
      <c r="C157" s="25"/>
      <c r="D157" s="25"/>
      <c r="E157" s="25"/>
      <c r="F157" s="25"/>
      <c r="G157" s="25"/>
      <c r="H157" s="25"/>
      <c r="I157" s="25"/>
      <c r="J157" s="25"/>
      <c r="K157" s="25"/>
      <c r="L157" s="25"/>
      <c r="M157" s="25"/>
    </row>
    <row r="158" spans="1:13" hidden="1">
      <c r="A158" s="25"/>
      <c r="B158" s="25"/>
      <c r="C158" s="25"/>
      <c r="D158" s="25"/>
      <c r="E158" s="25"/>
      <c r="F158" s="25"/>
      <c r="G158" s="25"/>
      <c r="H158" s="25"/>
      <c r="I158" s="25"/>
      <c r="J158" s="25"/>
      <c r="K158" s="25"/>
      <c r="L158" s="25"/>
      <c r="M158" s="25"/>
    </row>
    <row r="159" spans="1:13" hidden="1">
      <c r="A159" s="25"/>
      <c r="B159" s="25"/>
      <c r="C159" s="25"/>
      <c r="D159" s="25"/>
      <c r="E159" s="25"/>
      <c r="F159" s="25"/>
      <c r="G159" s="25"/>
      <c r="H159" s="25"/>
      <c r="I159" s="25"/>
      <c r="J159" s="25"/>
      <c r="K159" s="25"/>
      <c r="L159" s="25"/>
      <c r="M159" s="25"/>
    </row>
    <row r="160" spans="1:13" hidden="1">
      <c r="A160" s="25"/>
      <c r="B160" s="25"/>
      <c r="C160" s="25"/>
      <c r="D160" s="25"/>
      <c r="E160" s="25"/>
      <c r="F160" s="25"/>
      <c r="G160" s="25"/>
      <c r="H160" s="25"/>
      <c r="I160" s="25"/>
      <c r="J160" s="25"/>
      <c r="K160" s="25"/>
      <c r="L160" s="25"/>
      <c r="M160" s="25"/>
    </row>
    <row r="161" spans="1:15" hidden="1">
      <c r="A161" s="25"/>
      <c r="B161" s="25"/>
      <c r="C161" s="25"/>
      <c r="D161" s="25"/>
      <c r="E161" s="25"/>
      <c r="F161" s="25"/>
      <c r="G161" s="25"/>
      <c r="H161" s="25"/>
      <c r="I161" s="25"/>
      <c r="J161" s="25"/>
      <c r="K161" s="25"/>
      <c r="L161" s="25"/>
      <c r="M161" s="25"/>
    </row>
    <row r="162" spans="1:15" hidden="1">
      <c r="A162" s="25"/>
      <c r="B162" s="25"/>
      <c r="C162" s="25"/>
      <c r="D162" s="25"/>
      <c r="E162" s="25"/>
      <c r="F162" s="25"/>
      <c r="G162" s="25"/>
      <c r="H162" s="25"/>
      <c r="I162" s="25"/>
      <c r="J162" s="25"/>
      <c r="K162" s="25"/>
      <c r="L162" s="25"/>
      <c r="M162" s="25"/>
    </row>
    <row r="163" spans="1:15" hidden="1">
      <c r="A163" s="25"/>
      <c r="B163" s="25"/>
      <c r="C163" s="25"/>
      <c r="D163" s="25"/>
      <c r="E163" s="25"/>
      <c r="F163" s="25"/>
      <c r="G163" s="25"/>
      <c r="H163" s="25"/>
      <c r="I163" s="25"/>
      <c r="J163" s="25"/>
      <c r="K163" s="25"/>
      <c r="L163" s="25"/>
      <c r="M163" s="25"/>
    </row>
    <row r="164" spans="1:15" hidden="1">
      <c r="A164" s="25"/>
      <c r="B164" s="25"/>
      <c r="C164" s="25"/>
      <c r="D164" s="25"/>
      <c r="E164" s="25"/>
      <c r="F164" s="25"/>
      <c r="G164" s="25"/>
      <c r="H164" s="25"/>
      <c r="I164" s="25"/>
      <c r="J164" s="25"/>
      <c r="K164" s="25"/>
      <c r="L164" s="25"/>
      <c r="M164" s="25"/>
    </row>
    <row r="165" spans="1:15" hidden="1">
      <c r="A165" s="25"/>
      <c r="B165" s="25"/>
      <c r="C165" s="25"/>
      <c r="D165" s="25"/>
      <c r="E165" s="25"/>
      <c r="F165" s="25"/>
      <c r="G165" s="25"/>
      <c r="H165" s="25"/>
      <c r="I165" s="25"/>
      <c r="J165" s="25"/>
      <c r="K165" s="25"/>
      <c r="L165" s="25"/>
      <c r="M165" s="25"/>
    </row>
    <row r="166" spans="1:15" hidden="1">
      <c r="A166" s="25"/>
      <c r="B166" s="25"/>
      <c r="C166" s="25"/>
      <c r="D166" s="25"/>
      <c r="E166" s="25"/>
      <c r="F166" s="25"/>
      <c r="G166" s="25"/>
      <c r="H166" s="25"/>
      <c r="I166" s="25"/>
      <c r="J166" s="25"/>
      <c r="K166" s="25"/>
      <c r="L166" s="25"/>
      <c r="M166" s="25"/>
    </row>
    <row r="167" spans="1:15" hidden="1">
      <c r="A167" s="25"/>
      <c r="B167" s="25"/>
      <c r="C167" s="25"/>
      <c r="D167" s="25"/>
      <c r="E167" s="25"/>
      <c r="F167" s="25"/>
      <c r="G167" s="25"/>
      <c r="H167" s="25"/>
      <c r="I167" s="25"/>
      <c r="J167" s="25"/>
      <c r="K167" s="25"/>
      <c r="L167" s="25"/>
      <c r="M167" s="25"/>
    </row>
    <row r="168" spans="1:15" hidden="1">
      <c r="A168" s="25"/>
      <c r="B168" s="25"/>
      <c r="C168" s="25"/>
      <c r="D168" s="25"/>
      <c r="E168" s="25"/>
      <c r="F168" s="25"/>
      <c r="G168" s="25"/>
      <c r="H168" s="25"/>
      <c r="I168" s="25"/>
      <c r="J168" s="25"/>
      <c r="K168" s="25"/>
      <c r="L168" s="25"/>
      <c r="M168" s="25"/>
    </row>
    <row r="169" spans="1:15">
      <c r="B169" s="25"/>
      <c r="C169" s="25"/>
      <c r="D169" s="25"/>
      <c r="E169" s="25"/>
      <c r="F169" s="25"/>
      <c r="G169" s="25"/>
      <c r="H169" s="25"/>
      <c r="I169" s="25"/>
      <c r="J169" s="25"/>
      <c r="K169" s="25"/>
      <c r="L169" s="25"/>
      <c r="M169" s="25"/>
    </row>
    <row r="170" spans="1:15">
      <c r="B170" s="25"/>
      <c r="C170" s="25"/>
      <c r="D170" s="25"/>
      <c r="E170" s="25"/>
      <c r="F170" s="25"/>
      <c r="G170" s="25"/>
      <c r="H170" s="25"/>
      <c r="I170" s="25"/>
      <c r="J170" s="25"/>
      <c r="K170" s="25"/>
      <c r="L170" s="25"/>
      <c r="M170" s="25"/>
    </row>
    <row r="171" spans="1:15">
      <c r="B171" s="64"/>
      <c r="D171" s="64"/>
      <c r="E171" s="64"/>
      <c r="F171" s="64"/>
      <c r="J171" s="64"/>
      <c r="K171" s="64"/>
      <c r="L171" s="64"/>
      <c r="M171" s="64"/>
      <c r="N171" s="64"/>
      <c r="O171" s="64"/>
    </row>
    <row r="172" spans="1:15">
      <c r="B172" s="64"/>
      <c r="D172" s="64"/>
      <c r="E172" s="64"/>
      <c r="F172" s="64"/>
      <c r="J172" s="64"/>
      <c r="K172" s="64"/>
      <c r="L172" s="64"/>
      <c r="M172" s="64"/>
      <c r="N172" s="64"/>
      <c r="O172" s="64"/>
    </row>
  </sheetData>
  <sheetProtection algorithmName="SHA-512" hashValue="VP3kaos3ILxGkHkZhq+PdewDJEbhkO7/TG80hyPxaH+24KS/q6J7B7Qmr9fEv0kgD7C1DgJgD069TCZv9L/b2A==" saltValue="J00nAKowUKB8MEwS3fF1ng==" spinCount="100000" sheet="1" objects="1" scenarios="1"/>
  <autoFilter ref="P1:P168" xr:uid="{00000000-0009-0000-0000-000002000000}">
    <filterColumn colId="0">
      <customFilters>
        <customFilter operator="notEqual" val=" "/>
      </customFilters>
    </filterColumn>
  </autoFilter>
  <phoneticPr fontId="17" type="noConversion"/>
  <printOptions horizontalCentered="1"/>
  <pageMargins left="0" right="0" top="0.5" bottom="0.5" header="0" footer="0"/>
  <pageSetup fitToHeight="5" orientation="portrait" horizontalDpi="300" verticalDpi="300" r:id="rId1"/>
  <headerFooter alignWithMargins="0"/>
  <rowBreaks count="1" manualBreakCount="1">
    <brk id="108" max="16383" man="1"/>
  </rowBreaks>
  <ignoredErrors>
    <ignoredError sqref="E4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89"/>
  <sheetViews>
    <sheetView topLeftCell="A7" workbookViewId="0">
      <selection activeCell="C34" sqref="C34"/>
    </sheetView>
  </sheetViews>
  <sheetFormatPr defaultColWidth="9.109375" defaultRowHeight="14.4"/>
  <cols>
    <col min="1" max="1" width="15.109375" style="138" bestFit="1" customWidth="1"/>
    <col min="2" max="2" width="4" style="138" bestFit="1" customWidth="1"/>
    <col min="3" max="4" width="5" style="138" bestFit="1" customWidth="1"/>
    <col min="5" max="5" width="4" style="138" bestFit="1" customWidth="1"/>
    <col min="6" max="6" width="25.6640625" style="138" customWidth="1"/>
    <col min="7" max="7" width="16.88671875" style="138" customWidth="1"/>
    <col min="8" max="8" width="12.6640625" style="138" bestFit="1" customWidth="1"/>
    <col min="9" max="16384" width="9.109375" style="138"/>
  </cols>
  <sheetData>
    <row r="1" spans="1:8">
      <c r="G1" s="139" t="s">
        <v>233</v>
      </c>
    </row>
    <row r="2" spans="1:8">
      <c r="G2" s="139" t="s">
        <v>234</v>
      </c>
      <c r="H2" s="142"/>
    </row>
    <row r="3" spans="1:8">
      <c r="G3" s="139" t="s">
        <v>235</v>
      </c>
      <c r="H3" s="142"/>
    </row>
    <row r="6" spans="1:8">
      <c r="G6" s="138">
        <v>46.55</v>
      </c>
      <c r="H6" s="141"/>
    </row>
    <row r="7" spans="1:8" ht="16.2">
      <c r="G7" s="141"/>
      <c r="H7" s="143" t="s">
        <v>122</v>
      </c>
    </row>
    <row r="8" spans="1:8">
      <c r="G8" s="138" t="s">
        <v>56</v>
      </c>
    </row>
    <row r="9" spans="1:8">
      <c r="A9" s="144" t="s">
        <v>236</v>
      </c>
      <c r="B9" s="144">
        <v>100</v>
      </c>
      <c r="C9" s="144">
        <v>3300</v>
      </c>
      <c r="D9" s="144">
        <v>0</v>
      </c>
      <c r="E9" s="144">
        <v>0</v>
      </c>
      <c r="F9" s="138" t="s">
        <v>153</v>
      </c>
      <c r="G9" s="138" t="s">
        <v>130</v>
      </c>
      <c r="H9" s="145">
        <v>730692</v>
      </c>
    </row>
    <row r="10" spans="1:8" s="141" customFormat="1">
      <c r="A10" s="146" t="s">
        <v>237</v>
      </c>
      <c r="B10" s="146" t="s">
        <v>238</v>
      </c>
      <c r="C10" s="146" t="s">
        <v>239</v>
      </c>
      <c r="D10" s="146">
        <v>0</v>
      </c>
      <c r="E10" s="146">
        <v>0</v>
      </c>
      <c r="F10" s="141" t="s">
        <v>240</v>
      </c>
      <c r="G10" s="141" t="s">
        <v>241</v>
      </c>
      <c r="H10" s="140">
        <v>80063.360000000001</v>
      </c>
    </row>
    <row r="11" spans="1:8" s="148" customFormat="1">
      <c r="A11" s="147" t="s">
        <v>242</v>
      </c>
      <c r="B11" s="147">
        <v>100</v>
      </c>
      <c r="C11" s="147">
        <v>3230</v>
      </c>
      <c r="D11" s="147">
        <v>0</v>
      </c>
      <c r="E11" s="147">
        <v>0</v>
      </c>
      <c r="F11" s="148" t="s">
        <v>154</v>
      </c>
      <c r="G11" s="148" t="s">
        <v>241</v>
      </c>
      <c r="H11" s="149">
        <v>64841</v>
      </c>
    </row>
    <row r="12" spans="1:8" s="141" customFormat="1">
      <c r="A12" s="146" t="s">
        <v>243</v>
      </c>
      <c r="B12" s="146">
        <v>100</v>
      </c>
      <c r="C12" s="146">
        <v>3334</v>
      </c>
      <c r="D12" s="146">
        <v>0</v>
      </c>
      <c r="E12" s="146">
        <v>0</v>
      </c>
      <c r="F12" s="141" t="s">
        <v>190</v>
      </c>
      <c r="G12" s="141" t="s">
        <v>244</v>
      </c>
      <c r="H12" s="140">
        <v>921</v>
      </c>
    </row>
    <row r="13" spans="1:8" s="141" customFormat="1">
      <c r="A13" s="146" t="s">
        <v>245</v>
      </c>
      <c r="B13" s="146">
        <v>100</v>
      </c>
      <c r="C13" s="146" t="s">
        <v>246</v>
      </c>
      <c r="D13" s="146">
        <v>0</v>
      </c>
      <c r="E13" s="146">
        <v>0</v>
      </c>
      <c r="F13" s="141" t="s">
        <v>247</v>
      </c>
      <c r="G13" s="141" t="s">
        <v>244</v>
      </c>
      <c r="H13" s="140">
        <v>9695</v>
      </c>
    </row>
    <row r="14" spans="1:8" s="148" customFormat="1">
      <c r="A14" s="147" t="s">
        <v>248</v>
      </c>
      <c r="B14" s="147">
        <v>100</v>
      </c>
      <c r="C14" s="147">
        <v>3390</v>
      </c>
      <c r="D14" s="147">
        <v>0</v>
      </c>
      <c r="E14" s="147">
        <v>0</v>
      </c>
      <c r="F14" s="148" t="s">
        <v>172</v>
      </c>
      <c r="G14" s="148" t="s">
        <v>244</v>
      </c>
      <c r="H14" s="149">
        <v>16145.58</v>
      </c>
    </row>
    <row r="15" spans="1:8" s="141" customFormat="1">
      <c r="A15" s="146" t="s">
        <v>249</v>
      </c>
      <c r="B15" s="146">
        <v>100</v>
      </c>
      <c r="C15" s="146">
        <v>3395</v>
      </c>
      <c r="D15" s="146">
        <v>0</v>
      </c>
      <c r="E15" s="146">
        <v>0</v>
      </c>
      <c r="F15" s="141" t="s">
        <v>250</v>
      </c>
      <c r="G15" s="141" t="s">
        <v>244</v>
      </c>
      <c r="H15" s="140">
        <v>0</v>
      </c>
    </row>
    <row r="16" spans="1:8">
      <c r="A16" s="144" t="s">
        <v>251</v>
      </c>
      <c r="B16" s="144">
        <v>360</v>
      </c>
      <c r="C16" s="144">
        <v>3397</v>
      </c>
      <c r="D16" s="144">
        <v>0</v>
      </c>
      <c r="E16" s="144">
        <v>0</v>
      </c>
      <c r="F16" s="138" t="s">
        <v>131</v>
      </c>
      <c r="G16" s="138" t="s">
        <v>244</v>
      </c>
      <c r="H16" s="145">
        <v>35230</v>
      </c>
    </row>
    <row r="17" spans="1:8">
      <c r="A17" s="144" t="s">
        <v>252</v>
      </c>
      <c r="B17" s="144">
        <v>100</v>
      </c>
      <c r="C17" s="144">
        <v>3400</v>
      </c>
      <c r="D17" s="144">
        <v>0</v>
      </c>
      <c r="E17" s="144">
        <v>0</v>
      </c>
      <c r="F17" s="138" t="s">
        <v>93</v>
      </c>
      <c r="G17" s="138" t="s">
        <v>253</v>
      </c>
      <c r="H17" s="145">
        <v>30.240000000000002</v>
      </c>
    </row>
    <row r="18" spans="1:8">
      <c r="A18" s="144" t="s">
        <v>254</v>
      </c>
      <c r="B18" s="144">
        <v>100</v>
      </c>
      <c r="C18" s="144" t="s">
        <v>255</v>
      </c>
      <c r="D18" s="144">
        <v>0</v>
      </c>
      <c r="E18" s="144">
        <v>0</v>
      </c>
      <c r="F18" s="138" t="s">
        <v>94</v>
      </c>
      <c r="G18" s="138" t="s">
        <v>253</v>
      </c>
      <c r="H18" s="145">
        <v>14080.73</v>
      </c>
    </row>
    <row r="19" spans="1:8">
      <c r="A19" s="144" t="s">
        <v>256</v>
      </c>
      <c r="B19" s="144">
        <v>100</v>
      </c>
      <c r="C19" s="144" t="s">
        <v>257</v>
      </c>
      <c r="D19" s="144">
        <v>0</v>
      </c>
      <c r="E19" s="144">
        <v>0</v>
      </c>
      <c r="F19" s="138" t="s">
        <v>258</v>
      </c>
      <c r="G19" s="138" t="s">
        <v>253</v>
      </c>
      <c r="H19" s="145">
        <v>3685.94</v>
      </c>
    </row>
    <row r="20" spans="1:8">
      <c r="A20" s="144" t="s">
        <v>259</v>
      </c>
      <c r="B20" s="144">
        <v>100</v>
      </c>
      <c r="C20" s="144">
        <v>3600</v>
      </c>
      <c r="D20" s="144">
        <v>0</v>
      </c>
      <c r="E20" s="144">
        <v>0</v>
      </c>
      <c r="F20" s="138" t="s">
        <v>96</v>
      </c>
      <c r="G20" s="138" t="s">
        <v>253</v>
      </c>
      <c r="H20" s="145">
        <v>176744.53</v>
      </c>
    </row>
    <row r="21" spans="1:8">
      <c r="A21" s="144"/>
      <c r="B21" s="144"/>
      <c r="C21" s="144"/>
      <c r="D21" s="144"/>
      <c r="E21" s="144"/>
      <c r="H21" s="145">
        <f>SUM(H9:H20)</f>
        <v>1132129.3799999999</v>
      </c>
    </row>
    <row r="22" spans="1:8">
      <c r="A22" s="144"/>
      <c r="B22" s="144"/>
      <c r="C22" s="144"/>
      <c r="D22" s="144"/>
      <c r="E22" s="144"/>
    </row>
    <row r="23" spans="1:8">
      <c r="A23" s="144"/>
      <c r="B23" s="144"/>
      <c r="C23" s="144"/>
      <c r="D23" s="144"/>
      <c r="E23" s="144"/>
      <c r="G23" s="138" t="s">
        <v>56</v>
      </c>
    </row>
    <row r="24" spans="1:8">
      <c r="A24" s="144" t="s">
        <v>260</v>
      </c>
      <c r="B24" s="144">
        <v>100</v>
      </c>
      <c r="C24" s="144">
        <v>4000</v>
      </c>
      <c r="D24" s="144">
        <v>5200</v>
      </c>
      <c r="E24" s="144">
        <v>120</v>
      </c>
      <c r="F24" s="138" t="s">
        <v>139</v>
      </c>
      <c r="G24" s="138" t="s">
        <v>261</v>
      </c>
      <c r="H24" s="145">
        <v>153661.99000000002</v>
      </c>
    </row>
    <row r="25" spans="1:8">
      <c r="A25" s="144" t="s">
        <v>179</v>
      </c>
      <c r="B25" s="144">
        <v>100</v>
      </c>
      <c r="C25" s="144">
        <v>4000</v>
      </c>
      <c r="D25" s="144">
        <v>5200</v>
      </c>
      <c r="E25" s="144">
        <v>121</v>
      </c>
      <c r="F25" s="138" t="s">
        <v>152</v>
      </c>
      <c r="G25" s="138" t="s">
        <v>261</v>
      </c>
      <c r="H25" s="145">
        <v>8300.7199999999993</v>
      </c>
    </row>
    <row r="26" spans="1:8">
      <c r="A26" s="144" t="s">
        <v>181</v>
      </c>
      <c r="B26" s="144">
        <v>100</v>
      </c>
      <c r="C26" s="144">
        <v>4000</v>
      </c>
      <c r="D26" s="144">
        <v>5200</v>
      </c>
      <c r="E26" s="144">
        <v>150</v>
      </c>
      <c r="F26" s="138" t="s">
        <v>151</v>
      </c>
      <c r="G26" s="138" t="s">
        <v>261</v>
      </c>
      <c r="H26" s="145">
        <v>207953.02831372546</v>
      </c>
    </row>
    <row r="27" spans="1:8">
      <c r="A27" s="144" t="s">
        <v>262</v>
      </c>
      <c r="B27" s="144">
        <v>100</v>
      </c>
      <c r="C27" s="144">
        <v>4000</v>
      </c>
      <c r="D27" s="144">
        <v>5200</v>
      </c>
      <c r="E27" s="144">
        <v>210</v>
      </c>
      <c r="F27" s="138" t="s">
        <v>21</v>
      </c>
      <c r="G27" s="138" t="s">
        <v>261</v>
      </c>
      <c r="H27" s="145">
        <v>26319.655344172548</v>
      </c>
    </row>
    <row r="28" spans="1:8">
      <c r="A28" s="144" t="s">
        <v>263</v>
      </c>
      <c r="B28" s="144">
        <v>100</v>
      </c>
      <c r="C28" s="144">
        <v>4000</v>
      </c>
      <c r="D28" s="144">
        <v>5200</v>
      </c>
      <c r="E28" s="144">
        <v>220</v>
      </c>
      <c r="F28" s="138" t="s">
        <v>23</v>
      </c>
      <c r="G28" s="138" t="s">
        <v>261</v>
      </c>
      <c r="H28" s="145">
        <v>27598.417436</v>
      </c>
    </row>
    <row r="29" spans="1:8">
      <c r="A29" s="144" t="s">
        <v>264</v>
      </c>
      <c r="B29" s="144">
        <v>100</v>
      </c>
      <c r="C29" s="144">
        <v>4000</v>
      </c>
      <c r="D29" s="144">
        <v>5200</v>
      </c>
      <c r="E29" s="144">
        <v>230</v>
      </c>
      <c r="F29" s="138" t="s">
        <v>126</v>
      </c>
      <c r="G29" s="138" t="s">
        <v>261</v>
      </c>
      <c r="H29" s="145">
        <v>43885.899999999994</v>
      </c>
    </row>
    <row r="30" spans="1:8" s="141" customFormat="1">
      <c r="A30" s="146" t="s">
        <v>265</v>
      </c>
      <c r="B30" s="146">
        <v>100</v>
      </c>
      <c r="C30" s="146">
        <v>4000</v>
      </c>
      <c r="D30" s="146">
        <v>5200</v>
      </c>
      <c r="E30" s="146">
        <v>240</v>
      </c>
      <c r="F30" s="141" t="s">
        <v>127</v>
      </c>
      <c r="G30" s="141" t="s">
        <v>261</v>
      </c>
      <c r="H30" s="140">
        <v>2450</v>
      </c>
    </row>
    <row r="31" spans="1:8" s="141" customFormat="1">
      <c r="A31" s="146" t="s">
        <v>266</v>
      </c>
      <c r="B31" s="146">
        <v>100</v>
      </c>
      <c r="C31" s="146">
        <v>4000</v>
      </c>
      <c r="D31" s="146">
        <v>5200</v>
      </c>
      <c r="E31" s="146">
        <v>250</v>
      </c>
      <c r="F31" s="141" t="s">
        <v>128</v>
      </c>
      <c r="G31" s="141" t="s">
        <v>261</v>
      </c>
      <c r="H31" s="140">
        <v>285.67999999999995</v>
      </c>
    </row>
    <row r="32" spans="1:8">
      <c r="A32" s="147" t="s">
        <v>274</v>
      </c>
      <c r="B32" s="147">
        <v>100</v>
      </c>
      <c r="C32" s="147">
        <v>4000</v>
      </c>
      <c r="D32" s="147">
        <v>6100</v>
      </c>
      <c r="E32" s="147">
        <v>150</v>
      </c>
      <c r="F32" s="148" t="s">
        <v>150</v>
      </c>
      <c r="G32" s="148" t="s">
        <v>275</v>
      </c>
      <c r="H32" s="149">
        <v>79431.713999999993</v>
      </c>
    </row>
    <row r="33" spans="1:8">
      <c r="A33" s="146" t="s">
        <v>276</v>
      </c>
      <c r="B33" s="146">
        <v>100</v>
      </c>
      <c r="C33" s="146">
        <v>4000</v>
      </c>
      <c r="D33" s="146">
        <v>6100</v>
      </c>
      <c r="E33" s="146">
        <v>210</v>
      </c>
      <c r="F33" s="141" t="s">
        <v>21</v>
      </c>
      <c r="G33" s="141" t="s">
        <v>275</v>
      </c>
      <c r="H33" s="140">
        <v>6420.157796800002</v>
      </c>
    </row>
    <row r="34" spans="1:8">
      <c r="A34" s="146" t="s">
        <v>277</v>
      </c>
      <c r="B34" s="146">
        <v>100</v>
      </c>
      <c r="C34" s="146">
        <v>4000</v>
      </c>
      <c r="D34" s="146">
        <v>6100</v>
      </c>
      <c r="E34" s="146">
        <v>220</v>
      </c>
      <c r="F34" s="141" t="s">
        <v>23</v>
      </c>
      <c r="G34" s="141" t="s">
        <v>275</v>
      </c>
      <c r="H34" s="140">
        <v>5163.9930160000004</v>
      </c>
    </row>
    <row r="35" spans="1:8">
      <c r="A35" s="146" t="s">
        <v>278</v>
      </c>
      <c r="B35" s="146">
        <v>100</v>
      </c>
      <c r="C35" s="146">
        <v>4000</v>
      </c>
      <c r="D35" s="146">
        <v>6100</v>
      </c>
      <c r="E35" s="146">
        <v>230</v>
      </c>
      <c r="F35" s="141" t="s">
        <v>126</v>
      </c>
      <c r="G35" s="141" t="s">
        <v>275</v>
      </c>
      <c r="H35" s="140">
        <v>23250.109999999997</v>
      </c>
    </row>
    <row r="36" spans="1:8">
      <c r="A36" s="146" t="s">
        <v>279</v>
      </c>
      <c r="B36" s="146">
        <v>100</v>
      </c>
      <c r="C36" s="146">
        <v>4000</v>
      </c>
      <c r="D36" s="146">
        <v>6100</v>
      </c>
      <c r="E36" s="146">
        <v>240</v>
      </c>
      <c r="F36" s="141" t="s">
        <v>127</v>
      </c>
      <c r="G36" s="141" t="s">
        <v>275</v>
      </c>
      <c r="H36" s="140">
        <v>769</v>
      </c>
    </row>
    <row r="37" spans="1:8">
      <c r="A37" s="146" t="s">
        <v>280</v>
      </c>
      <c r="B37" s="146">
        <v>100</v>
      </c>
      <c r="C37" s="146">
        <v>4000</v>
      </c>
      <c r="D37" s="146">
        <v>6100</v>
      </c>
      <c r="E37" s="146">
        <v>250</v>
      </c>
      <c r="F37" s="141" t="s">
        <v>128</v>
      </c>
      <c r="G37" s="141" t="s">
        <v>275</v>
      </c>
      <c r="H37" s="140">
        <v>39.459999999999781</v>
      </c>
    </row>
    <row r="38" spans="1:8">
      <c r="A38" s="144" t="s">
        <v>295</v>
      </c>
      <c r="B38" s="144">
        <v>100</v>
      </c>
      <c r="C38" s="144">
        <v>4000</v>
      </c>
      <c r="D38" s="144">
        <v>7300</v>
      </c>
      <c r="E38" s="144">
        <v>160</v>
      </c>
      <c r="F38" s="138" t="s">
        <v>149</v>
      </c>
      <c r="G38" s="138" t="s">
        <v>296</v>
      </c>
      <c r="H38" s="145">
        <v>18303.27</v>
      </c>
    </row>
    <row r="39" spans="1:8" s="148" customFormat="1">
      <c r="A39" s="146" t="s">
        <v>297</v>
      </c>
      <c r="B39" s="146">
        <v>100</v>
      </c>
      <c r="C39" s="146">
        <v>4000</v>
      </c>
      <c r="D39" s="146">
        <v>7300</v>
      </c>
      <c r="E39" s="146">
        <v>210</v>
      </c>
      <c r="F39" s="141" t="s">
        <v>21</v>
      </c>
      <c r="G39" s="141" t="s">
        <v>296</v>
      </c>
      <c r="H39" s="140">
        <v>659.37000000000012</v>
      </c>
    </row>
    <row r="40" spans="1:8" s="141" customFormat="1">
      <c r="A40" s="144" t="s">
        <v>298</v>
      </c>
      <c r="B40" s="144">
        <v>100</v>
      </c>
      <c r="C40" s="144">
        <v>4000</v>
      </c>
      <c r="D40" s="144">
        <v>7300</v>
      </c>
      <c r="E40" s="144">
        <v>220</v>
      </c>
      <c r="F40" s="138" t="s">
        <v>23</v>
      </c>
      <c r="G40" s="138" t="s">
        <v>296</v>
      </c>
      <c r="H40" s="145">
        <v>1400.1960000000001</v>
      </c>
    </row>
    <row r="41" spans="1:8" s="141" customFormat="1">
      <c r="A41" s="146" t="s">
        <v>299</v>
      </c>
      <c r="B41" s="146">
        <v>100</v>
      </c>
      <c r="C41" s="146">
        <v>4000</v>
      </c>
      <c r="D41" s="146">
        <v>7300</v>
      </c>
      <c r="E41" s="146" t="s">
        <v>300</v>
      </c>
      <c r="F41" s="141" t="s">
        <v>126</v>
      </c>
      <c r="G41" s="141" t="s">
        <v>296</v>
      </c>
      <c r="H41" s="140">
        <v>225</v>
      </c>
    </row>
    <row r="42" spans="1:8" s="141" customFormat="1">
      <c r="A42" s="146" t="s">
        <v>301</v>
      </c>
      <c r="B42" s="146">
        <v>100</v>
      </c>
      <c r="C42" s="146">
        <v>4000</v>
      </c>
      <c r="D42" s="146">
        <v>7300</v>
      </c>
      <c r="E42" s="146">
        <v>240</v>
      </c>
      <c r="F42" s="141" t="s">
        <v>127</v>
      </c>
      <c r="G42" s="141" t="s">
        <v>296</v>
      </c>
      <c r="H42" s="140">
        <v>134</v>
      </c>
    </row>
    <row r="43" spans="1:8" s="141" customFormat="1">
      <c r="A43" s="146" t="s">
        <v>302</v>
      </c>
      <c r="B43" s="146">
        <v>100</v>
      </c>
      <c r="C43" s="146">
        <v>4000</v>
      </c>
      <c r="D43" s="146">
        <v>7300</v>
      </c>
      <c r="E43" s="146">
        <v>250</v>
      </c>
      <c r="F43" s="141" t="s">
        <v>128</v>
      </c>
      <c r="G43" s="141" t="s">
        <v>296</v>
      </c>
      <c r="H43" s="140">
        <v>36.989999999999988</v>
      </c>
    </row>
    <row r="44" spans="1:8" s="141" customFormat="1">
      <c r="A44" s="146"/>
      <c r="B44" s="146"/>
      <c r="C44" s="146"/>
      <c r="D44" s="146"/>
      <c r="E44" s="146"/>
      <c r="H44" s="140">
        <f>SUM(H24:H43)</f>
        <v>606288.65190669801</v>
      </c>
    </row>
    <row r="45" spans="1:8" s="141" customFormat="1">
      <c r="A45" s="146"/>
      <c r="B45" s="146"/>
      <c r="C45" s="146"/>
      <c r="D45" s="146"/>
      <c r="E45" s="146"/>
      <c r="H45" s="140"/>
    </row>
    <row r="46" spans="1:8" s="141" customFormat="1">
      <c r="A46" s="144" t="s">
        <v>267</v>
      </c>
      <c r="B46" s="144">
        <v>100</v>
      </c>
      <c r="C46" s="144">
        <v>4000</v>
      </c>
      <c r="D46" s="144">
        <v>5200</v>
      </c>
      <c r="E46" s="144">
        <v>310</v>
      </c>
      <c r="F46" s="138" t="s">
        <v>54</v>
      </c>
      <c r="G46" s="138" t="s">
        <v>261</v>
      </c>
      <c r="H46" s="145">
        <v>32763.79</v>
      </c>
    </row>
    <row r="47" spans="1:8" s="141" customFormat="1">
      <c r="A47" s="144" t="s">
        <v>268</v>
      </c>
      <c r="B47" s="144">
        <v>100</v>
      </c>
      <c r="C47" s="144">
        <v>4000</v>
      </c>
      <c r="D47" s="144">
        <v>5200</v>
      </c>
      <c r="E47" s="144">
        <v>315</v>
      </c>
      <c r="F47" s="138" t="s">
        <v>95</v>
      </c>
      <c r="G47" s="138" t="s">
        <v>261</v>
      </c>
      <c r="H47" s="145">
        <v>10393</v>
      </c>
    </row>
    <row r="48" spans="1:8" s="141" customFormat="1">
      <c r="A48" s="144" t="s">
        <v>269</v>
      </c>
      <c r="B48" s="144">
        <v>100</v>
      </c>
      <c r="C48" s="144">
        <v>4000</v>
      </c>
      <c r="D48" s="144">
        <v>5200</v>
      </c>
      <c r="E48" s="144">
        <v>330</v>
      </c>
      <c r="F48" s="138" t="s">
        <v>148</v>
      </c>
      <c r="G48" s="138" t="s">
        <v>261</v>
      </c>
      <c r="H48" s="145">
        <v>200902</v>
      </c>
    </row>
    <row r="49" spans="1:8" s="141" customFormat="1">
      <c r="A49" s="144" t="s">
        <v>270</v>
      </c>
      <c r="B49" s="144">
        <v>100</v>
      </c>
      <c r="C49" s="144">
        <v>4000</v>
      </c>
      <c r="D49" s="144">
        <v>5200</v>
      </c>
      <c r="E49" s="144">
        <v>390</v>
      </c>
      <c r="F49" s="138" t="s">
        <v>97</v>
      </c>
      <c r="G49" s="138" t="s">
        <v>261</v>
      </c>
      <c r="H49" s="145">
        <v>4015.5128571428568</v>
      </c>
    </row>
    <row r="50" spans="1:8">
      <c r="A50" s="144" t="s">
        <v>271</v>
      </c>
      <c r="B50" s="144">
        <v>100</v>
      </c>
      <c r="C50" s="144">
        <v>4000</v>
      </c>
      <c r="D50" s="144">
        <v>5200</v>
      </c>
      <c r="E50" s="144">
        <v>510</v>
      </c>
      <c r="F50" s="138" t="s">
        <v>98</v>
      </c>
      <c r="G50" s="138" t="s">
        <v>261</v>
      </c>
      <c r="H50" s="145">
        <v>107981.895</v>
      </c>
    </row>
    <row r="51" spans="1:8">
      <c r="A51" s="144" t="s">
        <v>272</v>
      </c>
      <c r="B51" s="144">
        <v>100</v>
      </c>
      <c r="C51" s="144">
        <v>4000</v>
      </c>
      <c r="D51" s="144">
        <v>5200</v>
      </c>
      <c r="E51" s="144">
        <v>642</v>
      </c>
      <c r="F51" s="138" t="s">
        <v>205</v>
      </c>
      <c r="G51" s="138" t="s">
        <v>261</v>
      </c>
      <c r="H51" s="145">
        <v>7583</v>
      </c>
    </row>
    <row r="52" spans="1:8">
      <c r="A52" s="144" t="s">
        <v>273</v>
      </c>
      <c r="B52" s="144">
        <v>100</v>
      </c>
      <c r="C52" s="144">
        <v>4000</v>
      </c>
      <c r="D52" s="144">
        <v>5200</v>
      </c>
      <c r="E52" s="144">
        <v>730</v>
      </c>
      <c r="F52" s="138" t="s">
        <v>102</v>
      </c>
      <c r="G52" s="138" t="s">
        <v>261</v>
      </c>
      <c r="H52" s="145">
        <v>222</v>
      </c>
    </row>
    <row r="53" spans="1:8">
      <c r="A53" s="146" t="s">
        <v>281</v>
      </c>
      <c r="B53" s="146">
        <v>100</v>
      </c>
      <c r="C53" s="146">
        <v>4000</v>
      </c>
      <c r="D53" s="146">
        <v>6130</v>
      </c>
      <c r="E53" s="146">
        <v>310</v>
      </c>
      <c r="F53" s="141" t="s">
        <v>54</v>
      </c>
      <c r="G53" s="141" t="s">
        <v>275</v>
      </c>
      <c r="H53" s="140">
        <v>960</v>
      </c>
    </row>
    <row r="54" spans="1:8">
      <c r="A54" s="146" t="s">
        <v>282</v>
      </c>
      <c r="B54" s="146">
        <v>100</v>
      </c>
      <c r="C54" s="146">
        <v>4000</v>
      </c>
      <c r="D54" s="146">
        <v>6140</v>
      </c>
      <c r="E54" s="146">
        <v>310</v>
      </c>
      <c r="F54" s="141" t="s">
        <v>206</v>
      </c>
      <c r="G54" s="141" t="s">
        <v>275</v>
      </c>
      <c r="H54" s="140">
        <v>1433</v>
      </c>
    </row>
    <row r="55" spans="1:8" s="141" customFormat="1">
      <c r="A55" s="146" t="s">
        <v>283</v>
      </c>
      <c r="B55" s="146">
        <v>100</v>
      </c>
      <c r="C55" s="146">
        <v>4000</v>
      </c>
      <c r="D55" s="146">
        <v>6300</v>
      </c>
      <c r="E55" s="146">
        <v>590</v>
      </c>
      <c r="F55" s="141" t="s">
        <v>207</v>
      </c>
      <c r="G55" s="141" t="s">
        <v>284</v>
      </c>
      <c r="H55" s="140">
        <v>818</v>
      </c>
    </row>
    <row r="56" spans="1:8">
      <c r="A56" s="144" t="s">
        <v>285</v>
      </c>
      <c r="B56" s="144">
        <v>100</v>
      </c>
      <c r="C56" s="144">
        <v>4000</v>
      </c>
      <c r="D56" s="144">
        <v>6400</v>
      </c>
      <c r="E56" s="144">
        <v>310</v>
      </c>
      <c r="F56" s="138" t="s">
        <v>125</v>
      </c>
      <c r="G56" s="138" t="s">
        <v>286</v>
      </c>
      <c r="H56" s="145">
        <v>505</v>
      </c>
    </row>
    <row r="57" spans="1:8">
      <c r="A57" s="144" t="s">
        <v>287</v>
      </c>
      <c r="B57" s="144">
        <v>100</v>
      </c>
      <c r="C57" s="144">
        <v>4000</v>
      </c>
      <c r="D57" s="144">
        <v>6500</v>
      </c>
      <c r="E57" s="144">
        <v>310</v>
      </c>
      <c r="F57" s="138" t="s">
        <v>100</v>
      </c>
      <c r="G57" s="138" t="s">
        <v>288</v>
      </c>
      <c r="H57" s="145">
        <v>937</v>
      </c>
    </row>
    <row r="58" spans="1:8" s="141" customFormat="1">
      <c r="A58" s="144" t="s">
        <v>289</v>
      </c>
      <c r="B58" s="144">
        <v>100</v>
      </c>
      <c r="C58" s="144">
        <v>4000</v>
      </c>
      <c r="D58" s="144">
        <v>7100</v>
      </c>
      <c r="E58" s="144">
        <v>310</v>
      </c>
      <c r="F58" s="138" t="s">
        <v>101</v>
      </c>
      <c r="G58" s="138" t="s">
        <v>290</v>
      </c>
      <c r="H58" s="145">
        <v>8399</v>
      </c>
    </row>
    <row r="59" spans="1:8">
      <c r="A59" s="144" t="s">
        <v>291</v>
      </c>
      <c r="B59" s="144">
        <v>100</v>
      </c>
      <c r="C59" s="144">
        <v>4000</v>
      </c>
      <c r="D59" s="144">
        <v>7100</v>
      </c>
      <c r="E59" s="144">
        <v>330</v>
      </c>
      <c r="F59" s="138" t="s">
        <v>103</v>
      </c>
      <c r="G59" s="138" t="s">
        <v>290</v>
      </c>
      <c r="H59" s="145">
        <v>2067</v>
      </c>
    </row>
    <row r="60" spans="1:8" s="141" customFormat="1">
      <c r="A60" s="144" t="s">
        <v>292</v>
      </c>
      <c r="B60" s="144">
        <v>100</v>
      </c>
      <c r="C60" s="144">
        <v>4000</v>
      </c>
      <c r="D60" s="144">
        <v>7100</v>
      </c>
      <c r="E60" s="144">
        <v>730</v>
      </c>
      <c r="F60" s="138" t="s">
        <v>102</v>
      </c>
      <c r="G60" s="138" t="s">
        <v>290</v>
      </c>
      <c r="H60" s="145">
        <v>14921</v>
      </c>
    </row>
    <row r="61" spans="1:8" s="141" customFormat="1">
      <c r="A61" s="146" t="s">
        <v>293</v>
      </c>
      <c r="B61" s="146">
        <v>100</v>
      </c>
      <c r="C61" s="146">
        <v>4000</v>
      </c>
      <c r="D61" s="146">
        <v>7100</v>
      </c>
      <c r="E61" s="146">
        <v>790</v>
      </c>
      <c r="F61" s="141" t="s">
        <v>55</v>
      </c>
      <c r="G61" s="141" t="s">
        <v>290</v>
      </c>
      <c r="H61" s="140">
        <v>21121</v>
      </c>
    </row>
    <row r="62" spans="1:8" s="141" customFormat="1">
      <c r="A62" s="144" t="s">
        <v>294</v>
      </c>
      <c r="B62" s="144">
        <v>100</v>
      </c>
      <c r="C62" s="144">
        <v>4000</v>
      </c>
      <c r="D62" s="144">
        <v>7100</v>
      </c>
      <c r="E62" s="144">
        <v>795</v>
      </c>
      <c r="F62" s="138" t="s">
        <v>208</v>
      </c>
      <c r="G62" s="138" t="s">
        <v>290</v>
      </c>
      <c r="H62" s="145">
        <v>65</v>
      </c>
    </row>
    <row r="63" spans="1:8" s="141" customFormat="1">
      <c r="A63" s="146" t="s">
        <v>303</v>
      </c>
      <c r="B63" s="146">
        <v>100</v>
      </c>
      <c r="C63" s="146">
        <v>4000</v>
      </c>
      <c r="D63" s="146">
        <v>7300</v>
      </c>
      <c r="E63" s="146">
        <v>330</v>
      </c>
      <c r="F63" s="141" t="s">
        <v>103</v>
      </c>
      <c r="G63" s="141" t="s">
        <v>296</v>
      </c>
      <c r="H63" s="140">
        <v>4509</v>
      </c>
    </row>
    <row r="64" spans="1:8">
      <c r="A64" s="144" t="s">
        <v>304</v>
      </c>
      <c r="B64" s="144">
        <v>100</v>
      </c>
      <c r="C64" s="144">
        <v>4000</v>
      </c>
      <c r="D64" s="144">
        <v>7300</v>
      </c>
      <c r="E64" s="144">
        <v>370</v>
      </c>
      <c r="F64" s="138" t="s">
        <v>104</v>
      </c>
      <c r="G64" s="138" t="s">
        <v>296</v>
      </c>
      <c r="H64" s="145">
        <v>840</v>
      </c>
    </row>
    <row r="65" spans="1:8">
      <c r="A65" s="144" t="s">
        <v>305</v>
      </c>
      <c r="B65" s="144">
        <v>100</v>
      </c>
      <c r="C65" s="144">
        <v>4000</v>
      </c>
      <c r="D65" s="144">
        <v>7300</v>
      </c>
      <c r="E65" s="144">
        <v>390</v>
      </c>
      <c r="F65" s="138" t="s">
        <v>105</v>
      </c>
      <c r="G65" s="138" t="s">
        <v>296</v>
      </c>
      <c r="H65" s="145">
        <v>1566</v>
      </c>
    </row>
    <row r="66" spans="1:8">
      <c r="A66" s="144" t="s">
        <v>306</v>
      </c>
      <c r="B66" s="144">
        <v>100</v>
      </c>
      <c r="C66" s="144">
        <v>4000</v>
      </c>
      <c r="D66" s="144">
        <v>7300</v>
      </c>
      <c r="E66" s="144">
        <v>510</v>
      </c>
      <c r="F66" s="138" t="s">
        <v>106</v>
      </c>
      <c r="G66" s="138" t="s">
        <v>296</v>
      </c>
      <c r="H66" s="145">
        <v>1684</v>
      </c>
    </row>
    <row r="67" spans="1:8">
      <c r="A67" s="144" t="s">
        <v>307</v>
      </c>
      <c r="B67" s="144">
        <v>100</v>
      </c>
      <c r="C67" s="144">
        <v>4000</v>
      </c>
      <c r="D67" s="144">
        <v>7300</v>
      </c>
      <c r="E67" s="144">
        <v>690</v>
      </c>
      <c r="F67" s="138" t="s">
        <v>209</v>
      </c>
      <c r="G67" s="138" t="s">
        <v>296</v>
      </c>
      <c r="H67" s="145">
        <v>151</v>
      </c>
    </row>
    <row r="68" spans="1:8" s="141" customFormat="1">
      <c r="A68" s="146" t="s">
        <v>308</v>
      </c>
      <c r="B68" s="146">
        <v>100</v>
      </c>
      <c r="C68" s="146">
        <v>4000</v>
      </c>
      <c r="D68" s="146">
        <v>7400</v>
      </c>
      <c r="E68" s="146">
        <v>630</v>
      </c>
      <c r="F68" s="141" t="s">
        <v>107</v>
      </c>
      <c r="G68" s="141" t="s">
        <v>309</v>
      </c>
      <c r="H68" s="140">
        <v>15503.38</v>
      </c>
    </row>
    <row r="69" spans="1:8" s="141" customFormat="1">
      <c r="A69" s="146" t="s">
        <v>310</v>
      </c>
      <c r="B69" s="146">
        <v>100</v>
      </c>
      <c r="C69" s="146">
        <v>4000</v>
      </c>
      <c r="D69" s="146">
        <v>7500</v>
      </c>
      <c r="E69" s="146">
        <v>310</v>
      </c>
      <c r="F69" s="141" t="s">
        <v>108</v>
      </c>
      <c r="G69" s="141" t="s">
        <v>311</v>
      </c>
      <c r="H69" s="140">
        <v>21287.13</v>
      </c>
    </row>
    <row r="70" spans="1:8" s="141" customFormat="1">
      <c r="A70" s="146" t="s">
        <v>312</v>
      </c>
      <c r="B70" s="146">
        <v>100</v>
      </c>
      <c r="C70" s="146">
        <v>4000</v>
      </c>
      <c r="D70" s="146">
        <v>7500</v>
      </c>
      <c r="E70" s="146">
        <v>311</v>
      </c>
      <c r="F70" s="141" t="s">
        <v>109</v>
      </c>
      <c r="G70" s="141" t="s">
        <v>311</v>
      </c>
      <c r="H70" s="140">
        <v>5845.6281539215688</v>
      </c>
    </row>
    <row r="71" spans="1:8">
      <c r="A71" s="144" t="s">
        <v>313</v>
      </c>
      <c r="B71" s="144">
        <v>100</v>
      </c>
      <c r="C71" s="144">
        <v>4000</v>
      </c>
      <c r="D71" s="144">
        <v>7800</v>
      </c>
      <c r="E71" s="144">
        <v>350</v>
      </c>
      <c r="F71" s="138" t="s">
        <v>140</v>
      </c>
      <c r="G71" s="138" t="s">
        <v>314</v>
      </c>
      <c r="H71" s="145">
        <v>9302.1875</v>
      </c>
    </row>
    <row r="72" spans="1:8">
      <c r="A72" s="144" t="s">
        <v>315</v>
      </c>
      <c r="B72" s="144">
        <v>100</v>
      </c>
      <c r="C72" s="144">
        <v>4000</v>
      </c>
      <c r="D72" s="144">
        <v>7800</v>
      </c>
      <c r="E72" s="144" t="s">
        <v>316</v>
      </c>
      <c r="F72" s="138" t="s">
        <v>147</v>
      </c>
      <c r="G72" s="138" t="s">
        <v>314</v>
      </c>
      <c r="H72" s="145">
        <v>2114.75</v>
      </c>
    </row>
    <row r="73" spans="1:8">
      <c r="A73" s="144" t="s">
        <v>317</v>
      </c>
      <c r="B73" s="144">
        <v>100</v>
      </c>
      <c r="C73" s="144">
        <v>4000</v>
      </c>
      <c r="D73" s="144">
        <v>7900</v>
      </c>
      <c r="E73" s="144">
        <v>310</v>
      </c>
      <c r="F73" s="138" t="s">
        <v>211</v>
      </c>
      <c r="G73" s="138" t="s">
        <v>318</v>
      </c>
      <c r="H73" s="145">
        <v>35600</v>
      </c>
    </row>
    <row r="74" spans="1:8">
      <c r="A74" s="144" t="s">
        <v>319</v>
      </c>
      <c r="B74" s="144">
        <v>100</v>
      </c>
      <c r="C74" s="144">
        <v>4000</v>
      </c>
      <c r="D74" s="144">
        <v>7900</v>
      </c>
      <c r="E74" s="144">
        <v>320</v>
      </c>
      <c r="F74" s="138" t="s">
        <v>110</v>
      </c>
      <c r="G74" s="138" t="s">
        <v>318</v>
      </c>
      <c r="H74" s="145">
        <v>27147</v>
      </c>
    </row>
    <row r="75" spans="1:8" s="141" customFormat="1">
      <c r="A75" s="146" t="s">
        <v>320</v>
      </c>
      <c r="B75" s="146">
        <v>360</v>
      </c>
      <c r="C75" s="146">
        <v>4000</v>
      </c>
      <c r="D75" s="146">
        <v>7900</v>
      </c>
      <c r="E75" s="146">
        <v>320</v>
      </c>
      <c r="F75" s="141" t="s">
        <v>110</v>
      </c>
      <c r="G75" s="141" t="s">
        <v>318</v>
      </c>
      <c r="H75" s="140">
        <v>0</v>
      </c>
    </row>
    <row r="76" spans="1:8">
      <c r="A76" s="144" t="s">
        <v>321</v>
      </c>
      <c r="B76" s="144">
        <v>100</v>
      </c>
      <c r="C76" s="144">
        <v>4000</v>
      </c>
      <c r="D76" s="144">
        <v>7900</v>
      </c>
      <c r="E76" s="144">
        <v>379</v>
      </c>
      <c r="F76" s="138" t="s">
        <v>322</v>
      </c>
      <c r="G76" s="138" t="s">
        <v>318</v>
      </c>
      <c r="H76" s="145">
        <v>4004</v>
      </c>
    </row>
    <row r="77" spans="1:8" s="141" customFormat="1">
      <c r="A77" s="146" t="s">
        <v>323</v>
      </c>
      <c r="B77" s="146">
        <v>100</v>
      </c>
      <c r="C77" s="146">
        <v>4000</v>
      </c>
      <c r="D77" s="146">
        <v>7900</v>
      </c>
      <c r="E77" s="146">
        <v>380</v>
      </c>
      <c r="F77" s="141" t="s">
        <v>112</v>
      </c>
      <c r="G77" s="141" t="s">
        <v>318</v>
      </c>
      <c r="H77" s="140">
        <v>3587.1514285714279</v>
      </c>
    </row>
    <row r="78" spans="1:8">
      <c r="A78" s="144" t="s">
        <v>324</v>
      </c>
      <c r="B78" s="144">
        <v>100</v>
      </c>
      <c r="C78" s="144">
        <v>4000</v>
      </c>
      <c r="D78" s="144">
        <v>7900</v>
      </c>
      <c r="E78" s="144">
        <v>390</v>
      </c>
      <c r="F78" s="138" t="s">
        <v>113</v>
      </c>
      <c r="G78" s="138" t="s">
        <v>318</v>
      </c>
      <c r="H78" s="145">
        <v>1017.375</v>
      </c>
    </row>
    <row r="79" spans="1:8">
      <c r="A79" s="144" t="s">
        <v>325</v>
      </c>
      <c r="B79" s="144">
        <v>100</v>
      </c>
      <c r="C79" s="144">
        <v>4000</v>
      </c>
      <c r="D79" s="144">
        <v>7900</v>
      </c>
      <c r="E79" s="144">
        <v>430</v>
      </c>
      <c r="F79" s="138" t="s">
        <v>114</v>
      </c>
      <c r="G79" s="138" t="s">
        <v>318</v>
      </c>
      <c r="H79" s="145">
        <v>6951.7919999999986</v>
      </c>
    </row>
    <row r="80" spans="1:8">
      <c r="A80" s="144" t="s">
        <v>326</v>
      </c>
      <c r="B80" s="144">
        <v>100</v>
      </c>
      <c r="C80" s="144">
        <v>4000</v>
      </c>
      <c r="D80" s="144">
        <v>7900</v>
      </c>
      <c r="E80" s="144">
        <v>510</v>
      </c>
      <c r="F80" s="138" t="s">
        <v>115</v>
      </c>
      <c r="G80" s="138" t="s">
        <v>318</v>
      </c>
      <c r="H80" s="145">
        <v>1726.9080000000004</v>
      </c>
    </row>
    <row r="81" spans="1:8" s="141" customFormat="1">
      <c r="A81" s="146" t="s">
        <v>327</v>
      </c>
      <c r="B81" s="146">
        <v>100</v>
      </c>
      <c r="C81" s="146">
        <v>4000</v>
      </c>
      <c r="D81" s="146">
        <v>8100</v>
      </c>
      <c r="E81" s="146">
        <v>350</v>
      </c>
      <c r="F81" s="141" t="s">
        <v>116</v>
      </c>
      <c r="G81" s="141" t="s">
        <v>328</v>
      </c>
      <c r="H81" s="140">
        <v>8326.8085714285717</v>
      </c>
    </row>
    <row r="82" spans="1:8" s="141" customFormat="1">
      <c r="A82" s="146" t="s">
        <v>329</v>
      </c>
      <c r="B82" s="146">
        <v>360</v>
      </c>
      <c r="C82" s="146">
        <v>4000</v>
      </c>
      <c r="D82" s="146">
        <v>8100</v>
      </c>
      <c r="E82" s="146">
        <v>350</v>
      </c>
      <c r="F82" s="141" t="s">
        <v>212</v>
      </c>
      <c r="G82" s="141" t="s">
        <v>328</v>
      </c>
      <c r="H82" s="140">
        <v>0</v>
      </c>
    </row>
    <row r="83" spans="1:8" s="141" customFormat="1">
      <c r="A83" s="146" t="s">
        <v>330</v>
      </c>
      <c r="B83" s="146">
        <v>100</v>
      </c>
      <c r="C83" s="146">
        <v>4000</v>
      </c>
      <c r="D83" s="146">
        <v>9100</v>
      </c>
      <c r="E83" s="146" t="s">
        <v>331</v>
      </c>
      <c r="F83" s="141" t="s">
        <v>96</v>
      </c>
      <c r="G83" s="141" t="s">
        <v>332</v>
      </c>
      <c r="H83" s="140">
        <v>440</v>
      </c>
    </row>
    <row r="84" spans="1:8" s="141" customFormat="1">
      <c r="A84" s="146" t="s">
        <v>333</v>
      </c>
      <c r="B84" s="146">
        <v>100</v>
      </c>
      <c r="C84" s="146">
        <v>4000</v>
      </c>
      <c r="D84" s="146">
        <v>9100</v>
      </c>
      <c r="E84" s="146">
        <v>710</v>
      </c>
      <c r="F84" s="141" t="s">
        <v>213</v>
      </c>
      <c r="G84" s="141" t="s">
        <v>332</v>
      </c>
      <c r="H84" s="140">
        <v>1030</v>
      </c>
    </row>
    <row r="85" spans="1:8" s="141" customFormat="1">
      <c r="A85" s="146" t="s">
        <v>334</v>
      </c>
      <c r="B85" s="146">
        <v>100</v>
      </c>
      <c r="C85" s="146">
        <v>4000</v>
      </c>
      <c r="D85" s="146">
        <v>9200</v>
      </c>
      <c r="E85" s="146">
        <v>710</v>
      </c>
      <c r="F85" s="141" t="s">
        <v>335</v>
      </c>
      <c r="G85" s="141" t="s">
        <v>336</v>
      </c>
      <c r="H85" s="140">
        <v>7556.31</v>
      </c>
    </row>
    <row r="86" spans="1:8" s="141" customFormat="1">
      <c r="A86" s="146" t="s">
        <v>337</v>
      </c>
      <c r="B86" s="146">
        <v>360</v>
      </c>
      <c r="C86" s="146">
        <v>4000</v>
      </c>
      <c r="D86" s="146">
        <v>9200</v>
      </c>
      <c r="E86" s="146">
        <v>710</v>
      </c>
      <c r="F86" s="141" t="s">
        <v>220</v>
      </c>
      <c r="G86" s="141" t="s">
        <v>336</v>
      </c>
      <c r="H86" s="140">
        <v>0</v>
      </c>
    </row>
    <row r="87" spans="1:8" s="141" customFormat="1">
      <c r="A87" s="146" t="s">
        <v>338</v>
      </c>
      <c r="B87" s="146">
        <v>100</v>
      </c>
      <c r="C87" s="146">
        <v>4000</v>
      </c>
      <c r="D87" s="146">
        <v>9200</v>
      </c>
      <c r="E87" s="146">
        <v>720</v>
      </c>
      <c r="F87" s="141" t="s">
        <v>339</v>
      </c>
      <c r="G87" s="141" t="s">
        <v>336</v>
      </c>
      <c r="H87" s="140">
        <v>4061.0099999999993</v>
      </c>
    </row>
    <row r="88" spans="1:8" s="141" customFormat="1">
      <c r="A88" s="146" t="s">
        <v>340</v>
      </c>
      <c r="B88" s="146">
        <v>360</v>
      </c>
      <c r="C88" s="146">
        <v>4000</v>
      </c>
      <c r="D88" s="146">
        <v>9200</v>
      </c>
      <c r="E88" s="146">
        <v>720</v>
      </c>
      <c r="F88" s="141" t="s">
        <v>221</v>
      </c>
      <c r="G88" s="141" t="s">
        <v>336</v>
      </c>
      <c r="H88" s="140">
        <v>0</v>
      </c>
    </row>
    <row r="89" spans="1:8">
      <c r="A89" s="144"/>
      <c r="B89" s="144"/>
      <c r="C89" s="144"/>
      <c r="D89" s="144"/>
      <c r="E89" s="144"/>
      <c r="H89" s="145">
        <f>SUM(H46:H88)</f>
        <v>579338.62851106457</v>
      </c>
    </row>
  </sheetData>
  <pageMargins left="0.7" right="0.7" top="0.75" bottom="0.75" header="0.3" footer="0.3"/>
  <pageSetup orientation="portrait" verticalDpi="597"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2A99F-9419-4062-9158-E2E6055E6A7A}">
  <dimension ref="A1:AK46"/>
  <sheetViews>
    <sheetView topLeftCell="K1" workbookViewId="0">
      <selection activeCell="G22" sqref="G22:O22"/>
    </sheetView>
  </sheetViews>
  <sheetFormatPr defaultRowHeight="14.4"/>
  <cols>
    <col min="1" max="6" width="8.88671875" style="174"/>
    <col min="7" max="20" width="8.88671875" style="174" customWidth="1"/>
    <col min="21" max="21" width="10.5546875" style="174" customWidth="1"/>
    <col min="22" max="25" width="8.88671875" style="174" customWidth="1"/>
    <col min="26" max="26" width="9.44140625" style="174" bestFit="1" customWidth="1"/>
    <col min="27" max="27" width="8.88671875" style="174" customWidth="1"/>
    <col min="28" max="28" width="9.44140625" style="174" bestFit="1" customWidth="1"/>
    <col min="29" max="29" width="8.88671875" style="174" customWidth="1"/>
    <col min="30" max="30" width="9.44140625" style="174" bestFit="1" customWidth="1"/>
    <col min="31" max="35" width="8.88671875" style="174"/>
    <col min="36" max="36" width="4" style="174" customWidth="1"/>
    <col min="37" max="16384" width="8.88671875" style="174"/>
  </cols>
  <sheetData>
    <row r="1" spans="1:37" s="171" customFormat="1">
      <c r="G1" s="172">
        <v>44027</v>
      </c>
      <c r="H1" s="172">
        <v>44043</v>
      </c>
      <c r="I1" s="172">
        <v>44058</v>
      </c>
      <c r="J1" s="172">
        <v>44073</v>
      </c>
      <c r="K1" s="172">
        <v>44087</v>
      </c>
      <c r="L1" s="172">
        <v>44104</v>
      </c>
      <c r="M1" s="172">
        <v>44119</v>
      </c>
      <c r="N1" s="172">
        <v>44135</v>
      </c>
      <c r="O1" s="172">
        <v>44150</v>
      </c>
      <c r="P1" s="172">
        <v>44164</v>
      </c>
      <c r="Q1" s="172">
        <v>44178</v>
      </c>
      <c r="R1" s="172">
        <v>44195</v>
      </c>
      <c r="S1" s="172">
        <v>43845</v>
      </c>
      <c r="T1" s="172">
        <v>43860</v>
      </c>
      <c r="U1" s="172">
        <v>43875</v>
      </c>
      <c r="V1" s="172">
        <v>43889</v>
      </c>
      <c r="W1" s="172">
        <v>43903</v>
      </c>
      <c r="X1" s="172">
        <v>43921</v>
      </c>
      <c r="Y1" s="172">
        <v>43936</v>
      </c>
      <c r="Z1" s="172">
        <v>43951</v>
      </c>
      <c r="AA1" s="173">
        <v>43966</v>
      </c>
      <c r="AB1" s="172">
        <v>43981</v>
      </c>
      <c r="AC1" s="172">
        <v>43997</v>
      </c>
      <c r="AD1" s="172">
        <v>44012</v>
      </c>
      <c r="AE1" s="171" t="s">
        <v>347</v>
      </c>
      <c r="AF1" s="171" t="s">
        <v>348</v>
      </c>
      <c r="AG1" s="171" t="s">
        <v>349</v>
      </c>
      <c r="AH1" s="171" t="s">
        <v>350</v>
      </c>
      <c r="AI1" s="171" t="s">
        <v>351</v>
      </c>
      <c r="AK1" s="171" t="s">
        <v>352</v>
      </c>
    </row>
    <row r="2" spans="1:37">
      <c r="A2" s="174" t="s">
        <v>353</v>
      </c>
      <c r="D2" s="174" t="s">
        <v>354</v>
      </c>
      <c r="G2" s="175">
        <v>112.5</v>
      </c>
      <c r="H2" s="175">
        <v>112.5</v>
      </c>
      <c r="I2" s="175">
        <v>225</v>
      </c>
      <c r="J2" s="175">
        <v>675</v>
      </c>
      <c r="K2" s="175">
        <v>675</v>
      </c>
      <c r="L2" s="175">
        <v>675</v>
      </c>
      <c r="M2" s="175">
        <v>675</v>
      </c>
      <c r="N2" s="175">
        <v>675</v>
      </c>
      <c r="O2" s="175">
        <v>742.5</v>
      </c>
      <c r="P2" s="175">
        <v>675</v>
      </c>
      <c r="Q2" s="175">
        <v>675</v>
      </c>
      <c r="R2" s="175">
        <v>675</v>
      </c>
      <c r="S2" s="175">
        <v>675</v>
      </c>
      <c r="T2" s="175">
        <v>675</v>
      </c>
      <c r="U2" s="175">
        <v>1035</v>
      </c>
      <c r="V2" s="175">
        <v>675</v>
      </c>
      <c r="W2" s="175">
        <v>675</v>
      </c>
      <c r="X2" s="175">
        <v>675</v>
      </c>
      <c r="Y2" s="175">
        <v>675</v>
      </c>
      <c r="Z2" s="175">
        <v>675</v>
      </c>
      <c r="AA2" s="176">
        <v>675</v>
      </c>
      <c r="AB2" s="175">
        <v>675</v>
      </c>
      <c r="AC2" s="175">
        <v>675</v>
      </c>
      <c r="AD2" s="175">
        <v>675</v>
      </c>
      <c r="AE2" s="175">
        <f>Z2</f>
        <v>675</v>
      </c>
      <c r="AF2" s="175">
        <f>AE2*2</f>
        <v>1350</v>
      </c>
      <c r="AG2" s="175">
        <f>+SUM(G2:AD2)</f>
        <v>15052.5</v>
      </c>
      <c r="AH2" s="174">
        <v>22.5</v>
      </c>
      <c r="AK2" s="174">
        <f>+AE2/AH2</f>
        <v>30</v>
      </c>
    </row>
    <row r="3" spans="1:37">
      <c r="A3" s="174" t="s">
        <v>355</v>
      </c>
      <c r="D3" s="174" t="s">
        <v>354</v>
      </c>
      <c r="G3" s="175">
        <v>638</v>
      </c>
      <c r="H3" s="175">
        <v>1276</v>
      </c>
      <c r="I3" s="175">
        <f>1906.67+418</f>
        <v>2324.67</v>
      </c>
      <c r="J3" s="175">
        <v>1906.67</v>
      </c>
      <c r="K3" s="175">
        <v>1906.67</v>
      </c>
      <c r="L3" s="175">
        <v>1906.67</v>
      </c>
      <c r="M3" s="175">
        <v>1906.67</v>
      </c>
      <c r="N3" s="175">
        <f>1906.67+44</f>
        <v>1950.67</v>
      </c>
      <c r="O3" s="175">
        <v>1906.67</v>
      </c>
      <c r="P3" s="175">
        <v>1906.67</v>
      </c>
      <c r="Q3" s="175">
        <v>1906.67</v>
      </c>
      <c r="R3" s="175">
        <v>1906.67</v>
      </c>
      <c r="S3" s="175">
        <v>1906.67</v>
      </c>
      <c r="T3" s="175">
        <v>1906.67</v>
      </c>
      <c r="U3" s="175">
        <v>1906.67</v>
      </c>
      <c r="V3" s="175">
        <v>1906.67</v>
      </c>
      <c r="W3" s="175">
        <v>1906.67</v>
      </c>
      <c r="X3" s="175">
        <v>1906.67</v>
      </c>
      <c r="Y3" s="175">
        <v>1906.67</v>
      </c>
      <c r="Z3" s="175">
        <v>1906.67</v>
      </c>
      <c r="AA3" s="176">
        <v>1906.67</v>
      </c>
      <c r="AB3" s="175">
        <v>1906.67</v>
      </c>
      <c r="AC3" s="175">
        <v>1906.67</v>
      </c>
      <c r="AD3" s="175">
        <f>1906.67*3+1540</f>
        <v>7260.01</v>
      </c>
      <c r="AE3" s="175">
        <f>Z3</f>
        <v>1906.67</v>
      </c>
      <c r="AF3" s="175">
        <f>AE3*2</f>
        <v>3813.34</v>
      </c>
      <c r="AG3" s="175">
        <f t="shared" ref="AG3:AG7" si="0">+SUM(G3:AD3)</f>
        <v>49676.07999999998</v>
      </c>
      <c r="AH3" s="174" t="s">
        <v>356</v>
      </c>
      <c r="AI3" s="174">
        <v>22.5</v>
      </c>
      <c r="AJ3" s="174" t="s">
        <v>357</v>
      </c>
    </row>
    <row r="4" spans="1:37">
      <c r="A4" s="174" t="s">
        <v>358</v>
      </c>
      <c r="D4" s="174" t="s">
        <v>354</v>
      </c>
      <c r="G4" s="175"/>
      <c r="H4" s="175"/>
      <c r="I4" s="175"/>
      <c r="J4" s="175"/>
      <c r="K4" s="175"/>
      <c r="L4" s="175"/>
      <c r="M4" s="175"/>
      <c r="N4" s="175"/>
      <c r="O4" s="175"/>
      <c r="P4" s="175"/>
      <c r="Q4" s="175"/>
      <c r="R4" s="175"/>
      <c r="S4" s="175"/>
      <c r="T4" s="175"/>
      <c r="U4" s="175"/>
      <c r="V4" s="175"/>
      <c r="W4" s="175"/>
      <c r="X4" s="175"/>
      <c r="Y4" s="175"/>
      <c r="Z4" s="175"/>
      <c r="AA4" s="176"/>
      <c r="AB4" s="175"/>
      <c r="AC4" s="175">
        <v>68</v>
      </c>
      <c r="AD4" s="175">
        <v>340</v>
      </c>
      <c r="AE4" s="175">
        <f>AVERAGE(G4:AD4)</f>
        <v>204</v>
      </c>
      <c r="AF4" s="175">
        <f t="shared" ref="AF4:AF33" si="1">AE4*2</f>
        <v>408</v>
      </c>
      <c r="AG4" s="175">
        <f>+SUM(G4:AD4)</f>
        <v>408</v>
      </c>
      <c r="AH4" s="174">
        <v>10</v>
      </c>
      <c r="AK4" s="174">
        <f>+AE4/AH4</f>
        <v>20.399999999999999</v>
      </c>
    </row>
    <row r="5" spans="1:37">
      <c r="A5" s="174" t="s">
        <v>194</v>
      </c>
      <c r="D5" s="174" t="s">
        <v>354</v>
      </c>
      <c r="G5" s="175">
        <v>616.14</v>
      </c>
      <c r="H5" s="175">
        <v>733.5</v>
      </c>
      <c r="I5" s="175">
        <v>645.48</v>
      </c>
      <c r="J5" s="175">
        <v>234.72</v>
      </c>
      <c r="K5" s="175">
        <v>1877.76</v>
      </c>
      <c r="L5" s="175">
        <v>1173.5999999999999</v>
      </c>
      <c r="M5" s="175">
        <v>176.04</v>
      </c>
      <c r="N5" s="175">
        <v>176.04</v>
      </c>
      <c r="O5" s="175">
        <v>234.72</v>
      </c>
      <c r="P5" s="175">
        <v>117.36</v>
      </c>
      <c r="Q5" s="175">
        <v>0</v>
      </c>
      <c r="R5" s="175">
        <v>58.68</v>
      </c>
      <c r="S5" s="175">
        <v>0</v>
      </c>
      <c r="T5" s="175">
        <v>0</v>
      </c>
      <c r="U5" s="175">
        <v>440.1</v>
      </c>
      <c r="V5" s="175">
        <v>352.08</v>
      </c>
      <c r="W5" s="175">
        <v>352.08</v>
      </c>
      <c r="X5" s="175">
        <v>234.72</v>
      </c>
      <c r="Y5" s="175">
        <v>0</v>
      </c>
      <c r="Z5" s="175">
        <v>0</v>
      </c>
      <c r="AA5" s="176">
        <v>586.79999999999995</v>
      </c>
      <c r="AB5" s="175">
        <v>293.39999999999998</v>
      </c>
      <c r="AC5" s="175">
        <v>117.36</v>
      </c>
      <c r="AD5" s="175">
        <v>293.39999999999998</v>
      </c>
      <c r="AE5" s="175">
        <f>AVERAGE(G5:AD5)</f>
        <v>363.08249999999998</v>
      </c>
      <c r="AF5" s="175">
        <f t="shared" si="1"/>
        <v>726.16499999999996</v>
      </c>
      <c r="AG5" s="175">
        <f t="shared" si="0"/>
        <v>8713.98</v>
      </c>
      <c r="AH5" s="174">
        <v>10</v>
      </c>
      <c r="AK5" s="174">
        <f>+AE5/AH5</f>
        <v>36.308250000000001</v>
      </c>
    </row>
    <row r="6" spans="1:37">
      <c r="A6" s="174" t="s">
        <v>155</v>
      </c>
      <c r="D6" s="174" t="s">
        <v>354</v>
      </c>
      <c r="G6" s="175">
        <v>2056.3200000000002</v>
      </c>
      <c r="H6" s="175">
        <v>1762.56</v>
      </c>
      <c r="I6" s="175">
        <f>2121.6+832.32</f>
        <v>2953.92</v>
      </c>
      <c r="J6" s="175">
        <v>2121.6</v>
      </c>
      <c r="K6" s="175">
        <v>2121.6</v>
      </c>
      <c r="L6" s="175">
        <v>2121.6</v>
      </c>
      <c r="M6" s="175">
        <v>2121.6</v>
      </c>
      <c r="N6" s="175">
        <v>2121.6</v>
      </c>
      <c r="O6" s="175">
        <v>2121.6</v>
      </c>
      <c r="P6" s="175">
        <v>2121.6</v>
      </c>
      <c r="Q6" s="175">
        <v>2121.6</v>
      </c>
      <c r="R6" s="175">
        <v>2121.6</v>
      </c>
      <c r="S6" s="175">
        <v>2121.6</v>
      </c>
      <c r="T6" s="175">
        <v>2121.6</v>
      </c>
      <c r="U6" s="175">
        <v>2121.6</v>
      </c>
      <c r="V6" s="175">
        <v>2121.6</v>
      </c>
      <c r="W6" s="175">
        <v>2121.6</v>
      </c>
      <c r="X6" s="175">
        <v>2121.6</v>
      </c>
      <c r="Y6" s="175">
        <v>2121.6</v>
      </c>
      <c r="Z6" s="175">
        <v>2121.6</v>
      </c>
      <c r="AA6" s="176">
        <v>2121.6</v>
      </c>
      <c r="AB6" s="175">
        <v>2121.6</v>
      </c>
      <c r="AC6" s="175">
        <v>2121.6</v>
      </c>
      <c r="AD6" s="175">
        <f>2121.6*3+1713.6</f>
        <v>8078.4</v>
      </c>
      <c r="AE6" s="175">
        <f>+AC6</f>
        <v>2121.6</v>
      </c>
      <c r="AF6" s="175">
        <f t="shared" si="1"/>
        <v>4243.2</v>
      </c>
      <c r="AG6" s="175">
        <f t="shared" si="0"/>
        <v>57283.199999999983</v>
      </c>
      <c r="AH6" s="174" t="s">
        <v>356</v>
      </c>
      <c r="AI6" s="174">
        <v>22.5</v>
      </c>
      <c r="AJ6" s="174" t="s">
        <v>357</v>
      </c>
    </row>
    <row r="7" spans="1:37">
      <c r="A7" s="174" t="s">
        <v>359</v>
      </c>
      <c r="D7" s="174" t="s">
        <v>354</v>
      </c>
      <c r="G7" s="175">
        <v>0</v>
      </c>
      <c r="H7" s="175">
        <v>0</v>
      </c>
      <c r="I7" s="175">
        <v>0</v>
      </c>
      <c r="J7" s="175">
        <v>1457.28</v>
      </c>
      <c r="K7" s="175">
        <v>1457.28</v>
      </c>
      <c r="L7" s="175">
        <v>1457.28</v>
      </c>
      <c r="M7" s="175">
        <v>1457.28</v>
      </c>
      <c r="N7" s="175">
        <v>1457.28</v>
      </c>
      <c r="O7" s="175">
        <v>1457.28</v>
      </c>
      <c r="P7" s="175">
        <v>1457.28</v>
      </c>
      <c r="Q7" s="175">
        <v>1457.28</v>
      </c>
      <c r="R7" s="175">
        <v>1457.28</v>
      </c>
      <c r="S7" s="175">
        <v>1457.28</v>
      </c>
      <c r="T7" s="175">
        <v>1457.28</v>
      </c>
      <c r="U7" s="175">
        <v>1457.28</v>
      </c>
      <c r="V7" s="175">
        <v>1457.28</v>
      </c>
      <c r="W7" s="175">
        <v>1457.28</v>
      </c>
      <c r="X7" s="175">
        <v>1457.28</v>
      </c>
      <c r="Y7" s="175">
        <v>1457.28</v>
      </c>
      <c r="Z7" s="175">
        <v>1457.28</v>
      </c>
      <c r="AA7" s="176">
        <v>1457.28</v>
      </c>
      <c r="AB7" s="175">
        <v>1457.28</v>
      </c>
      <c r="AC7" s="175">
        <v>1457.28</v>
      </c>
      <c r="AD7" s="175">
        <v>1457.28</v>
      </c>
      <c r="AE7" s="175">
        <f>Z7</f>
        <v>1457.28</v>
      </c>
      <c r="AF7" s="175">
        <f t="shared" si="1"/>
        <v>2914.56</v>
      </c>
      <c r="AG7" s="175">
        <f t="shared" si="0"/>
        <v>30602.879999999994</v>
      </c>
      <c r="AH7" s="174" t="s">
        <v>356</v>
      </c>
    </row>
    <row r="8" spans="1:37">
      <c r="A8" s="171" t="s">
        <v>360</v>
      </c>
      <c r="G8" s="177">
        <f>SUM(G2:G7)</f>
        <v>3422.96</v>
      </c>
      <c r="H8" s="177">
        <f t="shared" ref="H8:AG8" si="2">SUM(H2:H7)</f>
        <v>3884.56</v>
      </c>
      <c r="I8" s="177">
        <f t="shared" si="2"/>
        <v>6149.07</v>
      </c>
      <c r="J8" s="177">
        <f t="shared" si="2"/>
        <v>6395.2699999999995</v>
      </c>
      <c r="K8" s="177">
        <f t="shared" si="2"/>
        <v>8038.31</v>
      </c>
      <c r="L8" s="177">
        <f t="shared" si="2"/>
        <v>7334.15</v>
      </c>
      <c r="M8" s="177">
        <f t="shared" si="2"/>
        <v>6336.5899999999992</v>
      </c>
      <c r="N8" s="177">
        <f t="shared" si="2"/>
        <v>6380.5899999999992</v>
      </c>
      <c r="O8" s="177">
        <f t="shared" si="2"/>
        <v>6462.7699999999995</v>
      </c>
      <c r="P8" s="177">
        <f t="shared" si="2"/>
        <v>6277.91</v>
      </c>
      <c r="Q8" s="177">
        <f t="shared" si="2"/>
        <v>6160.55</v>
      </c>
      <c r="R8" s="177">
        <f t="shared" si="2"/>
        <v>6219.23</v>
      </c>
      <c r="S8" s="177">
        <f t="shared" si="2"/>
        <v>6160.55</v>
      </c>
      <c r="T8" s="177">
        <f t="shared" si="2"/>
        <v>6160.55</v>
      </c>
      <c r="U8" s="177">
        <f t="shared" si="2"/>
        <v>6960.65</v>
      </c>
      <c r="V8" s="177">
        <f t="shared" si="2"/>
        <v>6512.63</v>
      </c>
      <c r="W8" s="177">
        <f t="shared" si="2"/>
        <v>6512.63</v>
      </c>
      <c r="X8" s="177">
        <f t="shared" si="2"/>
        <v>6395.2699999999995</v>
      </c>
      <c r="Y8" s="177">
        <f t="shared" si="2"/>
        <v>6160.55</v>
      </c>
      <c r="Z8" s="177">
        <f t="shared" si="2"/>
        <v>6160.55</v>
      </c>
      <c r="AA8" s="178">
        <f t="shared" si="2"/>
        <v>6747.3499999999995</v>
      </c>
      <c r="AB8" s="177">
        <f t="shared" si="2"/>
        <v>6453.95</v>
      </c>
      <c r="AC8" s="177">
        <f t="shared" si="2"/>
        <v>6345.91</v>
      </c>
      <c r="AD8" s="177">
        <f t="shared" si="2"/>
        <v>18104.089999999997</v>
      </c>
      <c r="AE8" s="177">
        <f t="shared" si="2"/>
        <v>6727.6324999999997</v>
      </c>
      <c r="AF8" s="177">
        <f t="shared" si="2"/>
        <v>13455.264999999999</v>
      </c>
      <c r="AG8" s="177">
        <f t="shared" si="2"/>
        <v>161736.63999999996</v>
      </c>
    </row>
    <row r="9" spans="1:37">
      <c r="A9" s="171"/>
      <c r="G9" s="177"/>
      <c r="H9" s="177"/>
      <c r="I9" s="177"/>
      <c r="J9" s="177"/>
      <c r="K9" s="177"/>
      <c r="L9" s="177"/>
      <c r="M9" s="177"/>
      <c r="N9" s="177"/>
      <c r="O9" s="177"/>
      <c r="P9" s="177"/>
      <c r="Q9" s="177"/>
      <c r="R9" s="177"/>
      <c r="S9" s="177"/>
      <c r="T9" s="177"/>
      <c r="U9" s="177"/>
      <c r="V9" s="177"/>
      <c r="W9" s="177"/>
      <c r="X9" s="177"/>
      <c r="Y9" s="177"/>
      <c r="Z9" s="177"/>
      <c r="AA9" s="177"/>
      <c r="AB9" s="177"/>
      <c r="AC9" s="177"/>
      <c r="AD9" s="177"/>
      <c r="AE9" s="177"/>
      <c r="AF9" s="177"/>
    </row>
    <row r="10" spans="1:37">
      <c r="A10" s="174" t="s">
        <v>175</v>
      </c>
      <c r="D10" s="174" t="s">
        <v>361</v>
      </c>
      <c r="G10" s="175">
        <v>177.66</v>
      </c>
      <c r="H10" s="175">
        <v>135.36000000000001</v>
      </c>
      <c r="I10" s="175">
        <v>203.04</v>
      </c>
      <c r="J10" s="175">
        <v>211.5</v>
      </c>
      <c r="K10" s="175">
        <v>211.5</v>
      </c>
      <c r="L10" s="175">
        <v>211.5</v>
      </c>
      <c r="M10" s="175">
        <v>211.5</v>
      </c>
      <c r="N10" s="175">
        <v>211.5</v>
      </c>
      <c r="O10" s="175">
        <v>211.5</v>
      </c>
      <c r="P10" s="175">
        <v>211.5</v>
      </c>
      <c r="Q10" s="175">
        <v>211.5</v>
      </c>
      <c r="R10" s="175">
        <v>211.5</v>
      </c>
      <c r="S10" s="175">
        <v>171.2</v>
      </c>
      <c r="T10" s="175">
        <v>214</v>
      </c>
      <c r="U10" s="175">
        <v>171.2</v>
      </c>
      <c r="V10" s="175">
        <v>42.8</v>
      </c>
      <c r="W10" s="175">
        <v>21.4</v>
      </c>
      <c r="X10" s="175"/>
      <c r="Y10" s="175"/>
      <c r="Z10" s="175"/>
      <c r="AA10" s="175"/>
      <c r="AB10" s="175"/>
      <c r="AC10" s="175"/>
      <c r="AD10" s="175"/>
      <c r="AE10" s="175">
        <f>AVERAGE(G10:AD10)</f>
        <v>178.83294117647057</v>
      </c>
      <c r="AF10" s="175">
        <f t="shared" ref="AF10" si="3">AE10*2</f>
        <v>357.66588235294114</v>
      </c>
      <c r="AG10" s="175">
        <f t="shared" ref="AG10:AG11" si="4">+SUM(G10:AD10)</f>
        <v>3040.16</v>
      </c>
      <c r="AH10" s="174">
        <v>8.56</v>
      </c>
      <c r="AK10" s="174">
        <f>+AE10/AH10</f>
        <v>20.89169873556899</v>
      </c>
    </row>
    <row r="11" spans="1:37">
      <c r="A11" s="174" t="s">
        <v>156</v>
      </c>
      <c r="D11" s="174" t="s">
        <v>361</v>
      </c>
      <c r="G11" s="175">
        <v>0</v>
      </c>
      <c r="H11" s="175">
        <v>0</v>
      </c>
      <c r="I11" s="175">
        <v>0</v>
      </c>
      <c r="J11" s="175">
        <v>211.5</v>
      </c>
      <c r="K11" s="175">
        <v>211.5</v>
      </c>
      <c r="L11" s="175">
        <f>211.5+16.92</f>
        <v>228.42000000000002</v>
      </c>
      <c r="M11" s="175">
        <f>211.5+16.92</f>
        <v>228.42000000000002</v>
      </c>
      <c r="N11" s="175">
        <f>211.5+16.92</f>
        <v>228.42000000000002</v>
      </c>
      <c r="O11" s="175">
        <v>211.5</v>
      </c>
      <c r="P11" s="175">
        <v>211.5</v>
      </c>
      <c r="Q11" s="175">
        <v>211.5</v>
      </c>
      <c r="R11" s="175">
        <v>211.5</v>
      </c>
      <c r="S11" s="175">
        <v>171.2</v>
      </c>
      <c r="T11" s="175">
        <v>214</v>
      </c>
      <c r="U11" s="175">
        <v>214</v>
      </c>
      <c r="V11" s="175">
        <v>230.92</v>
      </c>
      <c r="W11" s="175">
        <v>214</v>
      </c>
      <c r="X11" s="175">
        <v>214</v>
      </c>
      <c r="Y11" s="175">
        <v>214</v>
      </c>
      <c r="Z11" s="175">
        <v>214</v>
      </c>
      <c r="AA11" s="175">
        <v>214</v>
      </c>
      <c r="AB11" s="175">
        <v>214</v>
      </c>
      <c r="AC11" s="175">
        <v>214</v>
      </c>
      <c r="AD11" s="175">
        <v>214</v>
      </c>
      <c r="AE11" s="175">
        <f>Z11</f>
        <v>214</v>
      </c>
      <c r="AF11" s="175">
        <f t="shared" si="1"/>
        <v>428</v>
      </c>
      <c r="AG11" s="175">
        <f t="shared" si="4"/>
        <v>4496.38</v>
      </c>
      <c r="AH11" s="174">
        <v>8.56</v>
      </c>
      <c r="AK11" s="174">
        <f>+AE11/AH11</f>
        <v>25</v>
      </c>
    </row>
    <row r="12" spans="1:37">
      <c r="A12" s="171" t="s">
        <v>362</v>
      </c>
      <c r="G12" s="177">
        <f>SUM(G10:G11)</f>
        <v>177.66</v>
      </c>
      <c r="H12" s="177">
        <f t="shared" ref="H12:AG12" si="5">SUM(H10:H11)</f>
        <v>135.36000000000001</v>
      </c>
      <c r="I12" s="177">
        <f t="shared" si="5"/>
        <v>203.04</v>
      </c>
      <c r="J12" s="177">
        <f t="shared" si="5"/>
        <v>423</v>
      </c>
      <c r="K12" s="177">
        <f t="shared" si="5"/>
        <v>423</v>
      </c>
      <c r="L12" s="177">
        <f t="shared" si="5"/>
        <v>439.92</v>
      </c>
      <c r="M12" s="177">
        <f t="shared" si="5"/>
        <v>439.92</v>
      </c>
      <c r="N12" s="177">
        <f t="shared" si="5"/>
        <v>439.92</v>
      </c>
      <c r="O12" s="177">
        <f t="shared" si="5"/>
        <v>423</v>
      </c>
      <c r="P12" s="177">
        <f t="shared" si="5"/>
        <v>423</v>
      </c>
      <c r="Q12" s="177">
        <f t="shared" si="5"/>
        <v>423</v>
      </c>
      <c r="R12" s="177">
        <f t="shared" si="5"/>
        <v>423</v>
      </c>
      <c r="S12" s="177">
        <f t="shared" si="5"/>
        <v>342.4</v>
      </c>
      <c r="T12" s="177">
        <f t="shared" si="5"/>
        <v>428</v>
      </c>
      <c r="U12" s="177">
        <f t="shared" si="5"/>
        <v>385.2</v>
      </c>
      <c r="V12" s="177">
        <f t="shared" si="5"/>
        <v>273.71999999999997</v>
      </c>
      <c r="W12" s="177">
        <f t="shared" si="5"/>
        <v>235.4</v>
      </c>
      <c r="X12" s="177">
        <f t="shared" si="5"/>
        <v>214</v>
      </c>
      <c r="Y12" s="177">
        <f t="shared" si="5"/>
        <v>214</v>
      </c>
      <c r="Z12" s="177">
        <f t="shared" si="5"/>
        <v>214</v>
      </c>
      <c r="AA12" s="177">
        <f t="shared" si="5"/>
        <v>214</v>
      </c>
      <c r="AB12" s="177">
        <f t="shared" si="5"/>
        <v>214</v>
      </c>
      <c r="AC12" s="177">
        <f t="shared" si="5"/>
        <v>214</v>
      </c>
      <c r="AD12" s="177">
        <f t="shared" si="5"/>
        <v>214</v>
      </c>
      <c r="AE12" s="177">
        <f t="shared" si="5"/>
        <v>392.83294117647057</v>
      </c>
      <c r="AF12" s="177">
        <f t="shared" si="5"/>
        <v>785.66588235294114</v>
      </c>
      <c r="AG12" s="177">
        <f t="shared" si="5"/>
        <v>7536.54</v>
      </c>
    </row>
    <row r="13" spans="1:37">
      <c r="A13" s="171"/>
      <c r="G13" s="177"/>
      <c r="H13" s="177"/>
      <c r="I13" s="177"/>
      <c r="J13" s="177"/>
      <c r="K13" s="177"/>
      <c r="L13" s="177"/>
      <c r="M13" s="177"/>
      <c r="N13" s="177"/>
      <c r="O13" s="177"/>
      <c r="P13" s="177"/>
      <c r="Q13" s="177"/>
      <c r="R13" s="177"/>
      <c r="S13" s="177"/>
      <c r="T13" s="177"/>
      <c r="U13" s="177"/>
      <c r="V13" s="177"/>
      <c r="W13" s="177"/>
      <c r="X13" s="177"/>
      <c r="Y13" s="177"/>
      <c r="Z13" s="177"/>
      <c r="AA13" s="177"/>
      <c r="AB13" s="177"/>
      <c r="AC13" s="177"/>
      <c r="AD13" s="177"/>
      <c r="AE13" s="177"/>
      <c r="AF13" s="177"/>
    </row>
    <row r="14" spans="1:37">
      <c r="A14" s="174" t="s">
        <v>157</v>
      </c>
      <c r="D14" s="174" t="s">
        <v>363</v>
      </c>
      <c r="G14" s="175">
        <v>1248</v>
      </c>
      <c r="H14" s="175">
        <f>1248+755</f>
        <v>2003</v>
      </c>
      <c r="I14" s="175">
        <v>678.6</v>
      </c>
      <c r="J14" s="175">
        <v>1248</v>
      </c>
      <c r="K14" s="175">
        <v>1248</v>
      </c>
      <c r="L14" s="175">
        <v>1248</v>
      </c>
      <c r="M14" s="175">
        <v>1248</v>
      </c>
      <c r="N14" s="175">
        <f>1248+62.4</f>
        <v>1310.4000000000001</v>
      </c>
      <c r="O14" s="175">
        <f>1248+62.4</f>
        <v>1310.4000000000001</v>
      </c>
      <c r="P14" s="175">
        <f>1248+93.6</f>
        <v>1341.6</v>
      </c>
      <c r="Q14" s="175">
        <f>998.4+62.4</f>
        <v>1060.8</v>
      </c>
      <c r="R14" s="175">
        <f>1248+31.2</f>
        <v>1279.2</v>
      </c>
      <c r="S14" s="175">
        <f>998.4+31.2</f>
        <v>1029.5999999999999</v>
      </c>
      <c r="T14" s="175">
        <v>998.4</v>
      </c>
      <c r="U14" s="175">
        <v>1560</v>
      </c>
      <c r="V14" s="175">
        <v>904.8</v>
      </c>
      <c r="W14" s="175">
        <v>1248</v>
      </c>
      <c r="X14" s="175">
        <v>1248</v>
      </c>
      <c r="Y14" s="175">
        <v>1092</v>
      </c>
      <c r="Z14" s="175">
        <v>1248</v>
      </c>
      <c r="AA14" s="175">
        <v>1248</v>
      </c>
      <c r="AB14" s="175">
        <v>1248</v>
      </c>
      <c r="AC14" s="175">
        <v>1248</v>
      </c>
      <c r="AD14" s="175">
        <v>1248</v>
      </c>
      <c r="AE14" s="175">
        <f>AVERAGE(L14:AD14)</f>
        <v>1216.8</v>
      </c>
      <c r="AF14" s="175">
        <f t="shared" si="1"/>
        <v>2433.6</v>
      </c>
      <c r="AG14" s="175">
        <f>+SUM(G14:AD14)</f>
        <v>29544.799999999999</v>
      </c>
      <c r="AH14" s="174">
        <v>15.6</v>
      </c>
      <c r="AK14" s="174">
        <f t="shared" ref="AK14:AK21" si="6">+AE14/AH14</f>
        <v>78</v>
      </c>
    </row>
    <row r="15" spans="1:37">
      <c r="A15" s="174" t="s">
        <v>232</v>
      </c>
      <c r="D15" s="174" t="s">
        <v>363</v>
      </c>
      <c r="G15" s="175">
        <v>334.08</v>
      </c>
      <c r="H15" s="175">
        <v>691.2</v>
      </c>
      <c r="I15" s="175">
        <v>311.04000000000002</v>
      </c>
      <c r="J15" s="175">
        <v>0</v>
      </c>
      <c r="K15" s="175">
        <v>0</v>
      </c>
      <c r="L15" s="175">
        <v>414.72</v>
      </c>
      <c r="M15" s="175">
        <v>864</v>
      </c>
      <c r="N15" s="175">
        <v>864</v>
      </c>
      <c r="O15" s="175">
        <v>875.52</v>
      </c>
      <c r="P15" s="175">
        <v>875.52</v>
      </c>
      <c r="Q15" s="175">
        <v>552.96</v>
      </c>
      <c r="R15" s="175">
        <v>864</v>
      </c>
      <c r="S15" s="175">
        <v>691.2</v>
      </c>
      <c r="T15" s="175">
        <v>691.2</v>
      </c>
      <c r="U15" s="175">
        <v>1036.8</v>
      </c>
      <c r="V15" s="175">
        <v>806.4</v>
      </c>
      <c r="W15" s="175">
        <v>840.96</v>
      </c>
      <c r="X15" s="175">
        <v>864</v>
      </c>
      <c r="Y15" s="175">
        <v>691.2</v>
      </c>
      <c r="Z15" s="175">
        <v>691.2</v>
      </c>
      <c r="AA15" s="175">
        <v>691.2</v>
      </c>
      <c r="AB15" s="175">
        <v>691.2</v>
      </c>
      <c r="AC15" s="175">
        <v>691.2</v>
      </c>
      <c r="AD15" s="175">
        <v>691.2</v>
      </c>
      <c r="AE15" s="175">
        <f>AVERAGE(L15:AD15)</f>
        <v>757.28842105263175</v>
      </c>
      <c r="AF15" s="175">
        <f t="shared" si="1"/>
        <v>1514.5768421052635</v>
      </c>
      <c r="AG15" s="175">
        <f t="shared" ref="AG15:AG22" si="7">+SUM(G15:AD15)</f>
        <v>15724.800000000003</v>
      </c>
      <c r="AH15" s="174">
        <v>11.52</v>
      </c>
      <c r="AK15" s="174">
        <f t="shared" si="6"/>
        <v>65.736842105263179</v>
      </c>
    </row>
    <row r="16" spans="1:37">
      <c r="A16" s="174" t="s">
        <v>364</v>
      </c>
      <c r="D16" s="174" t="s">
        <v>363</v>
      </c>
      <c r="G16" s="175">
        <v>631.79999999999995</v>
      </c>
      <c r="H16" s="175">
        <v>1248</v>
      </c>
      <c r="I16" s="175">
        <v>733.2</v>
      </c>
      <c r="J16" s="175">
        <v>1248</v>
      </c>
      <c r="K16" s="175">
        <v>1248</v>
      </c>
      <c r="L16" s="175">
        <v>1248</v>
      </c>
      <c r="M16" s="175">
        <v>1248</v>
      </c>
      <c r="N16" s="175">
        <v>1248</v>
      </c>
      <c r="O16" s="175">
        <f>1248+62.4</f>
        <v>1310.4000000000001</v>
      </c>
      <c r="P16" s="175">
        <v>1248</v>
      </c>
      <c r="Q16" s="175">
        <f>998.4+62.4</f>
        <v>1060.8</v>
      </c>
      <c r="R16" s="175">
        <f>1248+31.2</f>
        <v>1279.2</v>
      </c>
      <c r="S16" s="175">
        <v>998.4</v>
      </c>
      <c r="T16" s="175">
        <v>998.4</v>
      </c>
      <c r="U16" s="175">
        <v>1497.6</v>
      </c>
      <c r="V16" s="175">
        <v>1248</v>
      </c>
      <c r="W16" s="175">
        <v>1248</v>
      </c>
      <c r="X16" s="175">
        <v>1248</v>
      </c>
      <c r="Y16" s="175">
        <v>1170</v>
      </c>
      <c r="Z16" s="175">
        <v>1248</v>
      </c>
      <c r="AA16" s="175">
        <v>1248</v>
      </c>
      <c r="AB16" s="175">
        <v>1248</v>
      </c>
      <c r="AC16" s="175">
        <v>1248</v>
      </c>
      <c r="AD16" s="175">
        <v>1248</v>
      </c>
      <c r="AE16" s="175">
        <f>AVERAGE(L16:AD16)</f>
        <v>1225.8315789473684</v>
      </c>
      <c r="AF16" s="175">
        <f t="shared" si="1"/>
        <v>2451.6631578947367</v>
      </c>
      <c r="AG16" s="175">
        <f t="shared" si="7"/>
        <v>28399.8</v>
      </c>
      <c r="AH16" s="174">
        <v>15.6</v>
      </c>
      <c r="AK16" s="174">
        <f t="shared" si="6"/>
        <v>78.578947368421055</v>
      </c>
    </row>
    <row r="17" spans="1:37">
      <c r="A17" s="174" t="s">
        <v>365</v>
      </c>
      <c r="D17" s="174" t="s">
        <v>363</v>
      </c>
      <c r="G17" s="175">
        <v>296.39999999999998</v>
      </c>
      <c r="H17" s="175">
        <v>842.4</v>
      </c>
      <c r="I17" s="175">
        <v>811.2</v>
      </c>
      <c r="J17" s="175">
        <v>1248</v>
      </c>
      <c r="K17" s="175">
        <v>1248</v>
      </c>
      <c r="L17" s="175">
        <f>1248+45</f>
        <v>1293</v>
      </c>
      <c r="M17" s="175">
        <f>1248+60</f>
        <v>1308</v>
      </c>
      <c r="N17" s="175">
        <f>1248+150</f>
        <v>1398</v>
      </c>
      <c r="O17" s="175">
        <f>1248+150</f>
        <v>1398</v>
      </c>
      <c r="P17" s="175">
        <f>1248+105</f>
        <v>1353</v>
      </c>
      <c r="Q17" s="175">
        <f>998.4+330</f>
        <v>1328.4</v>
      </c>
      <c r="R17" s="175">
        <f>1248+150</f>
        <v>1398</v>
      </c>
      <c r="S17" s="175">
        <f>998.4+75</f>
        <v>1073.4000000000001</v>
      </c>
      <c r="T17" s="175">
        <v>998.4</v>
      </c>
      <c r="U17" s="175">
        <v>1677.6</v>
      </c>
      <c r="V17" s="175">
        <v>1338</v>
      </c>
      <c r="W17" s="175">
        <v>1368</v>
      </c>
      <c r="X17" s="175">
        <v>1278</v>
      </c>
      <c r="Y17" s="175">
        <v>1170</v>
      </c>
      <c r="Z17" s="175">
        <v>1248</v>
      </c>
      <c r="AA17" s="175">
        <v>1323</v>
      </c>
      <c r="AB17" s="175">
        <v>1323</v>
      </c>
      <c r="AC17" s="175">
        <v>1368</v>
      </c>
      <c r="AD17" s="175">
        <v>1338</v>
      </c>
      <c r="AE17" s="175">
        <f>AVERAGE(L17:AD17)</f>
        <v>1314.7263157894736</v>
      </c>
      <c r="AF17" s="175">
        <f t="shared" si="1"/>
        <v>2629.4526315789471</v>
      </c>
      <c r="AG17" s="175">
        <f t="shared" si="7"/>
        <v>29425.8</v>
      </c>
      <c r="AH17" s="174">
        <v>15.6</v>
      </c>
      <c r="AI17" s="174">
        <v>15</v>
      </c>
      <c r="AJ17" s="174" t="s">
        <v>357</v>
      </c>
      <c r="AK17" s="174">
        <f t="shared" si="6"/>
        <v>84.277327935222672</v>
      </c>
    </row>
    <row r="18" spans="1:37">
      <c r="A18" s="174" t="s">
        <v>198</v>
      </c>
      <c r="D18" s="174" t="s">
        <v>363</v>
      </c>
      <c r="G18" s="175">
        <v>0</v>
      </c>
      <c r="H18" s="175">
        <v>126.9</v>
      </c>
      <c r="I18" s="175">
        <v>84.6</v>
      </c>
      <c r="J18" s="175">
        <v>423</v>
      </c>
      <c r="K18" s="175">
        <v>423</v>
      </c>
      <c r="L18" s="175">
        <v>423</v>
      </c>
      <c r="M18" s="175">
        <v>439.92</v>
      </c>
      <c r="N18" s="175">
        <v>456.84</v>
      </c>
      <c r="O18" s="175">
        <v>473.76</v>
      </c>
      <c r="P18" s="175">
        <v>473.76</v>
      </c>
      <c r="Q18" s="175">
        <v>406.08</v>
      </c>
      <c r="R18" s="175">
        <v>423</v>
      </c>
      <c r="S18" s="175">
        <v>342.4</v>
      </c>
      <c r="T18" s="175">
        <v>342.4</v>
      </c>
      <c r="U18" s="175">
        <v>513.6</v>
      </c>
      <c r="V18" s="175">
        <v>428</v>
      </c>
      <c r="W18" s="175">
        <v>428</v>
      </c>
      <c r="X18" s="175">
        <v>428</v>
      </c>
      <c r="Y18" s="175">
        <v>428</v>
      </c>
      <c r="Z18" s="175">
        <v>428</v>
      </c>
      <c r="AA18" s="175">
        <v>428</v>
      </c>
      <c r="AB18" s="175">
        <v>428</v>
      </c>
      <c r="AC18" s="175">
        <v>428</v>
      </c>
      <c r="AD18" s="175">
        <v>428</v>
      </c>
      <c r="AE18" s="175">
        <f t="shared" ref="AE18:AE21" si="8">AVERAGE(L18:AD18)</f>
        <v>428.77684210526314</v>
      </c>
      <c r="AF18" s="175">
        <f t="shared" si="1"/>
        <v>857.55368421052628</v>
      </c>
      <c r="AG18" s="175">
        <f t="shared" si="7"/>
        <v>9204.26</v>
      </c>
      <c r="AH18" s="174">
        <v>8.56</v>
      </c>
      <c r="AK18" s="174">
        <f t="shared" si="6"/>
        <v>50.09075258239055</v>
      </c>
    </row>
    <row r="19" spans="1:37">
      <c r="A19" s="174" t="s">
        <v>158</v>
      </c>
      <c r="D19" s="174" t="s">
        <v>363</v>
      </c>
      <c r="G19" s="175">
        <v>0</v>
      </c>
      <c r="H19" s="175">
        <v>748</v>
      </c>
      <c r="I19" s="175">
        <v>442</v>
      </c>
      <c r="J19" s="175">
        <v>1088</v>
      </c>
      <c r="K19" s="175">
        <v>1088</v>
      </c>
      <c r="L19" s="175">
        <f>1088+27.2</f>
        <v>1115.2</v>
      </c>
      <c r="M19" s="175">
        <f>1088+27.2</f>
        <v>1115.2</v>
      </c>
      <c r="N19" s="175">
        <f>1088+27.2</f>
        <v>1115.2</v>
      </c>
      <c r="O19" s="175">
        <f>1088+54.4</f>
        <v>1142.4000000000001</v>
      </c>
      <c r="P19" s="175">
        <v>1088</v>
      </c>
      <c r="Q19" s="175">
        <v>870.4</v>
      </c>
      <c r="R19" s="175">
        <v>1088</v>
      </c>
      <c r="S19" s="175">
        <v>870.4</v>
      </c>
      <c r="T19" s="175">
        <v>979.2</v>
      </c>
      <c r="U19" s="175">
        <v>1305.5999999999999</v>
      </c>
      <c r="V19" s="175">
        <v>1115.2</v>
      </c>
      <c r="W19" s="175">
        <v>1115.2</v>
      </c>
      <c r="X19" s="175">
        <v>1088</v>
      </c>
      <c r="Y19" s="175">
        <v>952</v>
      </c>
      <c r="Z19" s="175">
        <v>1088</v>
      </c>
      <c r="AA19" s="175">
        <v>1088</v>
      </c>
      <c r="AB19" s="175">
        <v>1088</v>
      </c>
      <c r="AC19" s="175">
        <v>1088</v>
      </c>
      <c r="AD19" s="175">
        <v>1088</v>
      </c>
      <c r="AE19" s="175">
        <f t="shared" si="8"/>
        <v>1073.6842105263158</v>
      </c>
      <c r="AF19" s="175">
        <f t="shared" si="1"/>
        <v>2147.3684210526317</v>
      </c>
      <c r="AG19" s="175">
        <f t="shared" si="7"/>
        <v>23766</v>
      </c>
      <c r="AH19" s="174">
        <v>13.6</v>
      </c>
      <c r="AK19" s="174">
        <f t="shared" si="6"/>
        <v>78.94736842105263</v>
      </c>
    </row>
    <row r="20" spans="1:37">
      <c r="A20" s="174" t="s">
        <v>366</v>
      </c>
      <c r="D20" s="174" t="s">
        <v>363</v>
      </c>
      <c r="G20" s="175">
        <v>151.19999999999999</v>
      </c>
      <c r="H20" s="175">
        <v>436.8</v>
      </c>
      <c r="I20" s="175">
        <v>358.4</v>
      </c>
      <c r="J20" s="175">
        <v>896</v>
      </c>
      <c r="K20" s="175">
        <v>896</v>
      </c>
      <c r="L20" s="175">
        <v>851.2</v>
      </c>
      <c r="M20" s="175">
        <v>784</v>
      </c>
      <c r="N20" s="175">
        <v>784</v>
      </c>
      <c r="O20" s="175">
        <v>851.2</v>
      </c>
      <c r="P20" s="175">
        <v>851.2</v>
      </c>
      <c r="Q20" s="175">
        <v>537.6</v>
      </c>
      <c r="R20" s="175">
        <v>851.2</v>
      </c>
      <c r="S20" s="175">
        <v>470.4</v>
      </c>
      <c r="T20" s="175">
        <v>470.4</v>
      </c>
      <c r="U20" s="175">
        <v>862.4</v>
      </c>
      <c r="V20" s="175">
        <v>784</v>
      </c>
      <c r="W20" s="175">
        <v>672</v>
      </c>
      <c r="X20" s="175">
        <v>235.2</v>
      </c>
      <c r="Y20" s="175">
        <v>672</v>
      </c>
      <c r="Z20" s="175">
        <v>672</v>
      </c>
      <c r="AA20" s="175">
        <v>672</v>
      </c>
      <c r="AB20" s="175">
        <v>672</v>
      </c>
      <c r="AC20" s="175">
        <v>672</v>
      </c>
      <c r="AD20" s="175">
        <v>672</v>
      </c>
      <c r="AE20" s="175">
        <f t="shared" si="8"/>
        <v>686.14736842105265</v>
      </c>
      <c r="AF20" s="175">
        <f t="shared" si="1"/>
        <v>1372.2947368421053</v>
      </c>
      <c r="AG20" s="175">
        <f t="shared" si="7"/>
        <v>15775.2</v>
      </c>
      <c r="AH20" s="174">
        <v>11.2</v>
      </c>
      <c r="AK20" s="174">
        <f t="shared" si="6"/>
        <v>61.26315789473685</v>
      </c>
    </row>
    <row r="21" spans="1:37">
      <c r="A21" s="174" t="s">
        <v>223</v>
      </c>
      <c r="D21" s="174" t="s">
        <v>363</v>
      </c>
      <c r="G21" s="175">
        <v>1200</v>
      </c>
      <c r="H21" s="175">
        <f>1200+755</f>
        <v>1955</v>
      </c>
      <c r="I21" s="175">
        <v>630</v>
      </c>
      <c r="J21" s="175">
        <v>1200</v>
      </c>
      <c r="K21" s="175">
        <v>1200</v>
      </c>
      <c r="L21" s="175">
        <v>1200</v>
      </c>
      <c r="M21" s="175">
        <f>1200+60</f>
        <v>1260</v>
      </c>
      <c r="N21" s="175">
        <f>1200+225</f>
        <v>1425</v>
      </c>
      <c r="O21" s="175">
        <f>1200+225</f>
        <v>1425</v>
      </c>
      <c r="P21" s="175">
        <f>1200+225</f>
        <v>1425</v>
      </c>
      <c r="Q21" s="175">
        <f>960+375</f>
        <v>1335</v>
      </c>
      <c r="R21" s="175">
        <f>1200+225</f>
        <v>1425</v>
      </c>
      <c r="S21" s="175">
        <f>960+120</f>
        <v>1080</v>
      </c>
      <c r="T21" s="175">
        <v>1080</v>
      </c>
      <c r="U21" s="175">
        <v>1620</v>
      </c>
      <c r="V21" s="175">
        <v>1455</v>
      </c>
      <c r="W21" s="175">
        <v>1350</v>
      </c>
      <c r="X21" s="175">
        <v>1260</v>
      </c>
      <c r="Y21" s="175">
        <v>1200</v>
      </c>
      <c r="Z21" s="175">
        <v>1230</v>
      </c>
      <c r="AA21" s="175">
        <v>1320</v>
      </c>
      <c r="AB21" s="175">
        <v>1320</v>
      </c>
      <c r="AC21" s="175">
        <v>1320</v>
      </c>
      <c r="AD21" s="175">
        <v>1320</v>
      </c>
      <c r="AE21" s="175">
        <f t="shared" si="8"/>
        <v>1318.421052631579</v>
      </c>
      <c r="AF21" s="175">
        <f t="shared" si="1"/>
        <v>2636.8421052631579</v>
      </c>
      <c r="AG21" s="175">
        <f t="shared" si="7"/>
        <v>31235</v>
      </c>
      <c r="AH21" s="174">
        <v>15</v>
      </c>
      <c r="AK21" s="174">
        <f t="shared" si="6"/>
        <v>87.89473684210526</v>
      </c>
    </row>
    <row r="22" spans="1:37">
      <c r="A22" s="174" t="s">
        <v>367</v>
      </c>
      <c r="D22" s="174" t="s">
        <v>363</v>
      </c>
      <c r="G22" s="175">
        <v>421.2</v>
      </c>
      <c r="H22" s="175">
        <v>873.6</v>
      </c>
      <c r="I22" s="175">
        <v>639.6</v>
      </c>
      <c r="J22" s="175">
        <v>1248</v>
      </c>
      <c r="K22" s="175">
        <v>1248</v>
      </c>
      <c r="L22" s="175">
        <v>1248</v>
      </c>
      <c r="M22" s="175">
        <f>1248+31.2</f>
        <v>1279.2</v>
      </c>
      <c r="N22" s="175">
        <v>1248</v>
      </c>
      <c r="O22" s="175">
        <f>1248+62.4</f>
        <v>1310.4000000000001</v>
      </c>
      <c r="P22" s="175">
        <f>1248+78</f>
        <v>1326</v>
      </c>
      <c r="Q22" s="175">
        <f>748.8+78</f>
        <v>826.8</v>
      </c>
      <c r="R22" s="175">
        <f>1248+62.4</f>
        <v>1310.4000000000001</v>
      </c>
      <c r="S22" s="175">
        <f>998.4+46.8</f>
        <v>1045.2</v>
      </c>
      <c r="T22" s="175">
        <v>998.4</v>
      </c>
      <c r="U22" s="175">
        <v>1404</v>
      </c>
      <c r="V22" s="175">
        <v>1248</v>
      </c>
      <c r="W22" s="175"/>
      <c r="X22" s="175"/>
      <c r="Y22" s="175"/>
      <c r="Z22" s="175"/>
      <c r="AA22" s="175"/>
      <c r="AB22" s="175"/>
      <c r="AC22" s="175"/>
      <c r="AD22" s="175"/>
      <c r="AE22" s="175">
        <v>0</v>
      </c>
      <c r="AF22" s="175">
        <f t="shared" si="1"/>
        <v>0</v>
      </c>
      <c r="AG22" s="175">
        <f t="shared" si="7"/>
        <v>17674.799999999996</v>
      </c>
    </row>
    <row r="23" spans="1:37">
      <c r="A23" s="171" t="s">
        <v>368</v>
      </c>
      <c r="G23" s="177">
        <f>SUM(G14:G22)</f>
        <v>4282.68</v>
      </c>
      <c r="H23" s="177">
        <f t="shared" ref="H23:AG23" si="9">SUM(H14:H22)</f>
        <v>8924.9</v>
      </c>
      <c r="I23" s="177">
        <f t="shared" si="9"/>
        <v>4688.6400000000003</v>
      </c>
      <c r="J23" s="177">
        <f t="shared" si="9"/>
        <v>8599</v>
      </c>
      <c r="K23" s="177">
        <f t="shared" si="9"/>
        <v>8599</v>
      </c>
      <c r="L23" s="177">
        <f t="shared" si="9"/>
        <v>9041.119999999999</v>
      </c>
      <c r="M23" s="177">
        <f t="shared" si="9"/>
        <v>9546.32</v>
      </c>
      <c r="N23" s="177">
        <f t="shared" si="9"/>
        <v>9849.4399999999987</v>
      </c>
      <c r="O23" s="177">
        <f t="shared" si="9"/>
        <v>10097.08</v>
      </c>
      <c r="P23" s="177">
        <f t="shared" si="9"/>
        <v>9982.08</v>
      </c>
      <c r="Q23" s="177">
        <f t="shared" si="9"/>
        <v>7978.84</v>
      </c>
      <c r="R23" s="177">
        <f t="shared" si="9"/>
        <v>9917.9999999999982</v>
      </c>
      <c r="S23" s="177">
        <f t="shared" si="9"/>
        <v>7600.9999999999991</v>
      </c>
      <c r="T23" s="177">
        <f t="shared" si="9"/>
        <v>7556.7999999999993</v>
      </c>
      <c r="U23" s="177">
        <f t="shared" si="9"/>
        <v>11477.6</v>
      </c>
      <c r="V23" s="177">
        <f t="shared" si="9"/>
        <v>9327.4</v>
      </c>
      <c r="W23" s="177">
        <f t="shared" si="9"/>
        <v>8270.16</v>
      </c>
      <c r="X23" s="177">
        <f t="shared" si="9"/>
        <v>7649.2</v>
      </c>
      <c r="Y23" s="177">
        <f t="shared" si="9"/>
        <v>7375.2</v>
      </c>
      <c r="Z23" s="177">
        <f t="shared" si="9"/>
        <v>7853.2</v>
      </c>
      <c r="AA23" s="177">
        <f t="shared" si="9"/>
        <v>8018.2</v>
      </c>
      <c r="AB23" s="177">
        <f t="shared" si="9"/>
        <v>8018.2</v>
      </c>
      <c r="AC23" s="177">
        <f t="shared" si="9"/>
        <v>8063.2</v>
      </c>
      <c r="AD23" s="177">
        <f t="shared" si="9"/>
        <v>8033.2</v>
      </c>
      <c r="AE23" s="177">
        <f t="shared" si="9"/>
        <v>8021.6757894736847</v>
      </c>
      <c r="AF23" s="177">
        <f t="shared" si="9"/>
        <v>16043.351578947369</v>
      </c>
      <c r="AG23" s="177">
        <f t="shared" si="9"/>
        <v>200750.46000000002</v>
      </c>
    </row>
    <row r="24" spans="1:37">
      <c r="A24" s="171"/>
      <c r="G24" s="177"/>
      <c r="H24" s="177"/>
      <c r="I24" s="177"/>
      <c r="J24" s="177"/>
      <c r="K24" s="177"/>
      <c r="L24" s="177"/>
      <c r="M24" s="177"/>
      <c r="N24" s="177"/>
      <c r="O24" s="177"/>
      <c r="P24" s="177"/>
      <c r="Q24" s="177"/>
      <c r="R24" s="177"/>
      <c r="S24" s="177"/>
      <c r="T24" s="177"/>
      <c r="U24" s="177"/>
      <c r="V24" s="177"/>
      <c r="W24" s="177"/>
      <c r="X24" s="177"/>
      <c r="Y24" s="177"/>
      <c r="Z24" s="177"/>
      <c r="AA24" s="177"/>
      <c r="AB24" s="177"/>
      <c r="AC24" s="177"/>
      <c r="AD24" s="177"/>
      <c r="AE24" s="177"/>
      <c r="AF24" s="177"/>
    </row>
    <row r="25" spans="1:37">
      <c r="A25" s="174" t="s">
        <v>159</v>
      </c>
      <c r="D25" s="174" t="s">
        <v>369</v>
      </c>
      <c r="G25" s="175">
        <v>63.45</v>
      </c>
      <c r="H25" s="175">
        <v>126.9</v>
      </c>
      <c r="I25" s="175">
        <v>338.4</v>
      </c>
      <c r="J25" s="175">
        <v>211.5</v>
      </c>
      <c r="K25" s="175">
        <v>211.5</v>
      </c>
      <c r="L25" s="175">
        <v>211.5</v>
      </c>
      <c r="M25" s="175">
        <v>253.8</v>
      </c>
      <c r="N25" s="175">
        <v>253.8</v>
      </c>
      <c r="O25" s="175">
        <v>253.8</v>
      </c>
      <c r="P25" s="175">
        <v>211.5</v>
      </c>
      <c r="Q25" s="175">
        <v>211.5</v>
      </c>
      <c r="R25" s="175">
        <v>253.8</v>
      </c>
      <c r="S25" s="175">
        <v>205.44</v>
      </c>
      <c r="T25" s="175">
        <v>256.8</v>
      </c>
      <c r="U25" s="175">
        <v>256.8</v>
      </c>
      <c r="V25" s="175">
        <v>214</v>
      </c>
      <c r="W25" s="175">
        <v>214</v>
      </c>
      <c r="X25" s="175">
        <v>214</v>
      </c>
      <c r="Y25" s="175">
        <v>256.8</v>
      </c>
      <c r="Z25" s="175">
        <v>214</v>
      </c>
      <c r="AA25" s="175">
        <v>0</v>
      </c>
      <c r="AB25" s="175">
        <v>0</v>
      </c>
      <c r="AC25" s="175">
        <v>85.6</v>
      </c>
      <c r="AD25" s="175">
        <v>85.6</v>
      </c>
      <c r="AE25" s="175">
        <f>AVERAGE(L25:Z25)</f>
        <v>232.10266666666669</v>
      </c>
      <c r="AF25" s="175">
        <f t="shared" si="1"/>
        <v>464.20533333333339</v>
      </c>
      <c r="AG25" s="175">
        <f t="shared" ref="AG25:AG28" si="10">+SUM(G25:AD25)</f>
        <v>4604.4900000000007</v>
      </c>
      <c r="AH25" s="174">
        <v>8.56</v>
      </c>
      <c r="AK25" s="174">
        <f t="shared" ref="AK25:AK28" si="11">+AE25/AH25</f>
        <v>27.114797507788165</v>
      </c>
    </row>
    <row r="26" spans="1:37">
      <c r="A26" s="174" t="s">
        <v>160</v>
      </c>
      <c r="D26" s="174" t="s">
        <v>369</v>
      </c>
      <c r="G26" s="175">
        <v>276</v>
      </c>
      <c r="H26" s="175">
        <v>184</v>
      </c>
      <c r="I26" s="175">
        <v>379.5</v>
      </c>
      <c r="J26" s="175">
        <v>920</v>
      </c>
      <c r="K26" s="175">
        <v>920</v>
      </c>
      <c r="L26" s="175">
        <v>874</v>
      </c>
      <c r="M26" s="175">
        <v>828</v>
      </c>
      <c r="N26" s="175">
        <v>862.5</v>
      </c>
      <c r="O26" s="175">
        <v>874</v>
      </c>
      <c r="P26" s="175">
        <v>874</v>
      </c>
      <c r="Q26" s="175">
        <v>552</v>
      </c>
      <c r="R26" s="175">
        <v>874</v>
      </c>
      <c r="S26" s="175">
        <v>644</v>
      </c>
      <c r="T26" s="175">
        <v>563.5</v>
      </c>
      <c r="U26" s="175">
        <v>782</v>
      </c>
      <c r="V26" s="175">
        <v>644</v>
      </c>
      <c r="W26" s="175">
        <v>724.5</v>
      </c>
      <c r="X26" s="175">
        <v>747.5</v>
      </c>
      <c r="Y26" s="175">
        <v>805</v>
      </c>
      <c r="Z26" s="175">
        <v>920</v>
      </c>
      <c r="AA26" s="175">
        <v>920</v>
      </c>
      <c r="AB26" s="175">
        <v>920</v>
      </c>
      <c r="AC26" s="175">
        <v>920</v>
      </c>
      <c r="AD26" s="175">
        <v>920</v>
      </c>
      <c r="AE26" s="175">
        <f>AVERAGE(L26:Z26)</f>
        <v>771.26666666666665</v>
      </c>
      <c r="AF26" s="175">
        <f t="shared" si="1"/>
        <v>1542.5333333333333</v>
      </c>
      <c r="AG26" s="175">
        <f t="shared" si="10"/>
        <v>17928.5</v>
      </c>
      <c r="AH26" s="174">
        <v>11.5</v>
      </c>
      <c r="AK26" s="174">
        <f t="shared" si="11"/>
        <v>67.066666666666663</v>
      </c>
    </row>
    <row r="27" spans="1:37">
      <c r="A27" s="174" t="s">
        <v>161</v>
      </c>
      <c r="D27" s="174" t="s">
        <v>369</v>
      </c>
      <c r="G27" s="175">
        <v>448</v>
      </c>
      <c r="H27" s="175">
        <v>896</v>
      </c>
      <c r="I27" s="175">
        <v>518</v>
      </c>
      <c r="J27" s="175">
        <v>1120</v>
      </c>
      <c r="K27" s="175">
        <v>1120</v>
      </c>
      <c r="L27" s="175">
        <v>1120</v>
      </c>
      <c r="M27" s="175">
        <f>1120+28</f>
        <v>1148</v>
      </c>
      <c r="N27" s="175">
        <v>1120</v>
      </c>
      <c r="O27" s="175">
        <v>1120</v>
      </c>
      <c r="P27" s="175">
        <v>1120</v>
      </c>
      <c r="Q27" s="175">
        <v>896</v>
      </c>
      <c r="R27" s="175">
        <v>1120</v>
      </c>
      <c r="S27" s="175">
        <v>896</v>
      </c>
      <c r="T27" s="175">
        <v>896</v>
      </c>
      <c r="U27" s="175">
        <v>1344</v>
      </c>
      <c r="V27" s="175">
        <v>1120</v>
      </c>
      <c r="W27" s="175">
        <v>1120</v>
      </c>
      <c r="X27" s="175">
        <v>1120</v>
      </c>
      <c r="Y27" s="175">
        <v>980</v>
      </c>
      <c r="Z27" s="175">
        <v>1120</v>
      </c>
      <c r="AA27" s="175">
        <v>1120</v>
      </c>
      <c r="AB27" s="175">
        <v>1120</v>
      </c>
      <c r="AC27" s="175">
        <v>1120</v>
      </c>
      <c r="AD27" s="175">
        <v>0</v>
      </c>
      <c r="AE27" s="175">
        <f>+AC27</f>
        <v>1120</v>
      </c>
      <c r="AF27" s="175">
        <f t="shared" si="1"/>
        <v>2240</v>
      </c>
      <c r="AG27" s="175">
        <f t="shared" si="10"/>
        <v>23702</v>
      </c>
      <c r="AH27" s="174">
        <v>14</v>
      </c>
      <c r="AK27" s="174">
        <f t="shared" si="11"/>
        <v>80</v>
      </c>
    </row>
    <row r="28" spans="1:37">
      <c r="A28" s="174" t="s">
        <v>370</v>
      </c>
      <c r="D28" s="174" t="s">
        <v>369</v>
      </c>
      <c r="G28" s="175">
        <v>1200</v>
      </c>
      <c r="H28" s="175">
        <f>1200+755</f>
        <v>1955</v>
      </c>
      <c r="I28" s="175">
        <v>532.5</v>
      </c>
      <c r="J28" s="175">
        <v>1200</v>
      </c>
      <c r="K28" s="175">
        <v>1200</v>
      </c>
      <c r="L28" s="175">
        <v>1200</v>
      </c>
      <c r="M28" s="175">
        <f>1200</f>
        <v>1200</v>
      </c>
      <c r="N28" s="175">
        <f>1200+30</f>
        <v>1230</v>
      </c>
      <c r="O28" s="175">
        <f>1200+60</f>
        <v>1260</v>
      </c>
      <c r="P28" s="175">
        <v>1200</v>
      </c>
      <c r="Q28" s="175">
        <f>960+60</f>
        <v>1020</v>
      </c>
      <c r="R28" s="175">
        <f>1200+30</f>
        <v>1230</v>
      </c>
      <c r="S28" s="175">
        <v>960</v>
      </c>
      <c r="T28" s="175">
        <v>960</v>
      </c>
      <c r="U28" s="175">
        <v>1500</v>
      </c>
      <c r="V28" s="175">
        <v>1230</v>
      </c>
      <c r="W28" s="175">
        <v>1200</v>
      </c>
      <c r="X28" s="175">
        <v>1200</v>
      </c>
      <c r="Y28" s="175">
        <v>1050</v>
      </c>
      <c r="Z28" s="175">
        <v>1200</v>
      </c>
      <c r="AA28" s="175">
        <v>1200</v>
      </c>
      <c r="AB28" s="175">
        <v>1200</v>
      </c>
      <c r="AC28" s="175">
        <v>1200</v>
      </c>
      <c r="AD28" s="175">
        <v>1200</v>
      </c>
      <c r="AE28" s="175">
        <f>AVERAGE(L28:Z28)</f>
        <v>1176</v>
      </c>
      <c r="AF28" s="175">
        <f t="shared" si="1"/>
        <v>2352</v>
      </c>
      <c r="AG28" s="175">
        <f t="shared" si="10"/>
        <v>28527.5</v>
      </c>
      <c r="AH28" s="174">
        <v>15</v>
      </c>
      <c r="AK28" s="174">
        <f t="shared" si="11"/>
        <v>78.400000000000006</v>
      </c>
    </row>
    <row r="29" spans="1:37">
      <c r="A29" s="171" t="s">
        <v>371</v>
      </c>
      <c r="G29" s="177">
        <f>SUM(G25:G28)</f>
        <v>1987.45</v>
      </c>
      <c r="H29" s="177">
        <f t="shared" ref="H29:AG29" si="12">SUM(H25:H28)</f>
        <v>3161.9</v>
      </c>
      <c r="I29" s="177">
        <f t="shared" si="12"/>
        <v>1768.4</v>
      </c>
      <c r="J29" s="177">
        <f t="shared" si="12"/>
        <v>3451.5</v>
      </c>
      <c r="K29" s="177">
        <f t="shared" si="12"/>
        <v>3451.5</v>
      </c>
      <c r="L29" s="177">
        <f t="shared" si="12"/>
        <v>3405.5</v>
      </c>
      <c r="M29" s="177">
        <f t="shared" si="12"/>
        <v>3429.8</v>
      </c>
      <c r="N29" s="177">
        <f t="shared" si="12"/>
        <v>3466.3</v>
      </c>
      <c r="O29" s="177">
        <f t="shared" si="12"/>
        <v>3507.8</v>
      </c>
      <c r="P29" s="177">
        <f t="shared" si="12"/>
        <v>3405.5</v>
      </c>
      <c r="Q29" s="177">
        <f t="shared" si="12"/>
        <v>2679.5</v>
      </c>
      <c r="R29" s="177">
        <f t="shared" si="12"/>
        <v>3477.8</v>
      </c>
      <c r="S29" s="177">
        <f t="shared" si="12"/>
        <v>2705.44</v>
      </c>
      <c r="T29" s="177">
        <f t="shared" si="12"/>
        <v>2676.3</v>
      </c>
      <c r="U29" s="177">
        <f t="shared" si="12"/>
        <v>3882.8</v>
      </c>
      <c r="V29" s="177">
        <f t="shared" si="12"/>
        <v>3208</v>
      </c>
      <c r="W29" s="177">
        <f t="shared" si="12"/>
        <v>3258.5</v>
      </c>
      <c r="X29" s="177">
        <f t="shared" si="12"/>
        <v>3281.5</v>
      </c>
      <c r="Y29" s="177">
        <f t="shared" si="12"/>
        <v>3091.8</v>
      </c>
      <c r="Z29" s="179">
        <f t="shared" si="12"/>
        <v>3454</v>
      </c>
      <c r="AA29" s="177">
        <f t="shared" si="12"/>
        <v>3240</v>
      </c>
      <c r="AB29" s="179">
        <f t="shared" si="12"/>
        <v>3240</v>
      </c>
      <c r="AC29" s="177">
        <f t="shared" si="12"/>
        <v>3325.6</v>
      </c>
      <c r="AD29" s="179">
        <f t="shared" si="12"/>
        <v>2205.6</v>
      </c>
      <c r="AE29" s="177">
        <f t="shared" si="12"/>
        <v>3299.3693333333331</v>
      </c>
      <c r="AF29" s="177">
        <f t="shared" si="12"/>
        <v>6598.7386666666662</v>
      </c>
      <c r="AG29" s="177">
        <f t="shared" si="12"/>
        <v>74762.490000000005</v>
      </c>
    </row>
    <row r="30" spans="1:37">
      <c r="A30" s="171"/>
      <c r="G30" s="177"/>
      <c r="H30" s="177"/>
      <c r="I30" s="177"/>
      <c r="J30" s="177"/>
      <c r="K30" s="177"/>
      <c r="L30" s="177"/>
      <c r="M30" s="177"/>
      <c r="N30" s="177"/>
      <c r="O30" s="177"/>
      <c r="P30" s="177"/>
      <c r="Q30" s="177"/>
      <c r="R30" s="177"/>
      <c r="S30" s="177"/>
      <c r="T30" s="177"/>
      <c r="U30" s="177"/>
      <c r="V30" s="177"/>
      <c r="W30" s="177"/>
      <c r="X30" s="177"/>
      <c r="Y30" s="177"/>
      <c r="Z30" s="177"/>
      <c r="AA30" s="177"/>
      <c r="AB30" s="177"/>
      <c r="AC30" s="177"/>
      <c r="AD30" s="177"/>
      <c r="AE30" s="177"/>
      <c r="AF30" s="177"/>
    </row>
    <row r="31" spans="1:37">
      <c r="A31" s="174" t="s">
        <v>162</v>
      </c>
      <c r="D31" s="174" t="s">
        <v>372</v>
      </c>
      <c r="G31" s="175">
        <v>177.66</v>
      </c>
      <c r="H31" s="175">
        <v>160.74</v>
      </c>
      <c r="I31" s="175">
        <v>126.9</v>
      </c>
      <c r="J31" s="175">
        <v>211.5</v>
      </c>
      <c r="K31" s="175">
        <v>211.5</v>
      </c>
      <c r="L31" s="175">
        <v>211.5</v>
      </c>
      <c r="M31" s="175">
        <v>211.5</v>
      </c>
      <c r="N31" s="175">
        <v>211.5</v>
      </c>
      <c r="O31" s="175">
        <v>211.5</v>
      </c>
      <c r="P31" s="175">
        <v>211.5</v>
      </c>
      <c r="Q31" s="175">
        <v>211.5</v>
      </c>
      <c r="R31" s="175">
        <v>211.5</v>
      </c>
      <c r="S31" s="175">
        <v>171.2</v>
      </c>
      <c r="T31" s="175">
        <v>214</v>
      </c>
      <c r="U31" s="175">
        <v>214</v>
      </c>
      <c r="V31" s="175">
        <v>214</v>
      </c>
      <c r="W31" s="175">
        <v>214</v>
      </c>
      <c r="X31" s="175">
        <v>214</v>
      </c>
      <c r="Y31" s="175">
        <v>214</v>
      </c>
      <c r="Z31" s="175">
        <v>214</v>
      </c>
      <c r="AA31" s="175">
        <v>214</v>
      </c>
      <c r="AB31" s="175">
        <v>214</v>
      </c>
      <c r="AC31" s="175">
        <v>214</v>
      </c>
      <c r="AD31" s="175">
        <v>214</v>
      </c>
      <c r="AE31" s="175">
        <f>Z31</f>
        <v>214</v>
      </c>
      <c r="AF31" s="175">
        <f t="shared" si="1"/>
        <v>428</v>
      </c>
      <c r="AG31" s="175">
        <f t="shared" ref="AG31:AG33" si="13">+SUM(G31:AD31)</f>
        <v>4894</v>
      </c>
      <c r="AH31" s="174">
        <v>8.56</v>
      </c>
      <c r="AK31" s="174">
        <f t="shared" ref="AK31:AK33" si="14">+AE31/AH31</f>
        <v>25</v>
      </c>
    </row>
    <row r="32" spans="1:37">
      <c r="A32" s="174" t="s">
        <v>163</v>
      </c>
      <c r="D32" s="174" t="s">
        <v>372</v>
      </c>
      <c r="G32" s="175">
        <v>290.7</v>
      </c>
      <c r="H32" s="175">
        <v>323</v>
      </c>
      <c r="I32" s="175">
        <v>323</v>
      </c>
      <c r="J32" s="175">
        <v>323</v>
      </c>
      <c r="K32" s="175">
        <v>323</v>
      </c>
      <c r="L32" s="175">
        <v>323</v>
      </c>
      <c r="M32" s="175">
        <v>323</v>
      </c>
      <c r="N32" s="175">
        <v>323</v>
      </c>
      <c r="O32" s="175">
        <v>323</v>
      </c>
      <c r="P32" s="175">
        <v>323</v>
      </c>
      <c r="Q32" s="175">
        <v>323</v>
      </c>
      <c r="R32" s="175">
        <v>323</v>
      </c>
      <c r="S32" s="175">
        <v>323</v>
      </c>
      <c r="T32" s="175">
        <v>323</v>
      </c>
      <c r="U32" s="175">
        <v>387.6</v>
      </c>
      <c r="V32" s="175">
        <v>323</v>
      </c>
      <c r="W32" s="175">
        <v>323</v>
      </c>
      <c r="X32" s="175">
        <v>323</v>
      </c>
      <c r="Y32" s="175">
        <v>323</v>
      </c>
      <c r="Z32" s="175">
        <v>323</v>
      </c>
      <c r="AA32" s="175">
        <v>323</v>
      </c>
      <c r="AB32" s="175">
        <v>323</v>
      </c>
      <c r="AC32" s="175">
        <v>323</v>
      </c>
      <c r="AD32" s="175">
        <v>323</v>
      </c>
      <c r="AE32" s="175">
        <f>Z32</f>
        <v>323</v>
      </c>
      <c r="AF32" s="175">
        <f t="shared" si="1"/>
        <v>646</v>
      </c>
      <c r="AG32" s="175">
        <f t="shared" si="13"/>
        <v>7784.3</v>
      </c>
      <c r="AH32" s="174">
        <v>16.5</v>
      </c>
      <c r="AK32" s="174">
        <f t="shared" si="14"/>
        <v>19.575757575757574</v>
      </c>
    </row>
    <row r="33" spans="1:37">
      <c r="A33" s="174" t="s">
        <v>164</v>
      </c>
      <c r="D33" s="174" t="s">
        <v>372</v>
      </c>
      <c r="G33" s="175"/>
      <c r="H33" s="175"/>
      <c r="I33" s="175"/>
      <c r="J33" s="175">
        <v>211.5</v>
      </c>
      <c r="K33" s="175">
        <v>211.5</v>
      </c>
      <c r="L33" s="175">
        <v>211.5</v>
      </c>
      <c r="M33" s="175">
        <v>211.5</v>
      </c>
      <c r="N33" s="175">
        <v>211.5</v>
      </c>
      <c r="O33" s="175">
        <v>211.5</v>
      </c>
      <c r="P33" s="175">
        <v>211.5</v>
      </c>
      <c r="Q33" s="175">
        <v>211.5</v>
      </c>
      <c r="R33" s="175">
        <v>211.5</v>
      </c>
      <c r="S33" s="175">
        <v>171.2</v>
      </c>
      <c r="T33" s="175">
        <v>214</v>
      </c>
      <c r="U33" s="175">
        <v>214</v>
      </c>
      <c r="V33" s="175">
        <v>214</v>
      </c>
      <c r="W33" s="175">
        <v>214</v>
      </c>
      <c r="X33" s="175">
        <v>214</v>
      </c>
      <c r="Y33" s="175">
        <v>214</v>
      </c>
      <c r="Z33" s="175">
        <v>214</v>
      </c>
      <c r="AA33" s="175">
        <v>214</v>
      </c>
      <c r="AB33" s="175">
        <v>214</v>
      </c>
      <c r="AC33" s="175">
        <v>214</v>
      </c>
      <c r="AD33" s="175">
        <v>214</v>
      </c>
      <c r="AE33" s="175">
        <v>214</v>
      </c>
      <c r="AF33" s="175">
        <f t="shared" si="1"/>
        <v>428</v>
      </c>
      <c r="AG33" s="175">
        <f t="shared" si="13"/>
        <v>4428.7</v>
      </c>
      <c r="AH33" s="180">
        <v>8.56</v>
      </c>
      <c r="AK33" s="174">
        <f t="shared" si="14"/>
        <v>25</v>
      </c>
    </row>
    <row r="34" spans="1:37">
      <c r="A34" s="171" t="s">
        <v>373</v>
      </c>
      <c r="G34" s="177">
        <f>SUM(G31:G33)</f>
        <v>468.36</v>
      </c>
      <c r="H34" s="177">
        <f t="shared" ref="H34:AG34" si="15">SUM(H31:H33)</f>
        <v>483.74</v>
      </c>
      <c r="I34" s="177">
        <f t="shared" si="15"/>
        <v>449.9</v>
      </c>
      <c r="J34" s="177">
        <f t="shared" si="15"/>
        <v>746</v>
      </c>
      <c r="K34" s="177">
        <f t="shared" si="15"/>
        <v>746</v>
      </c>
      <c r="L34" s="177">
        <f t="shared" si="15"/>
        <v>746</v>
      </c>
      <c r="M34" s="177">
        <f t="shared" si="15"/>
        <v>746</v>
      </c>
      <c r="N34" s="177">
        <f t="shared" si="15"/>
        <v>746</v>
      </c>
      <c r="O34" s="177">
        <f t="shared" si="15"/>
        <v>746</v>
      </c>
      <c r="P34" s="177">
        <f t="shared" si="15"/>
        <v>746</v>
      </c>
      <c r="Q34" s="177">
        <f t="shared" si="15"/>
        <v>746</v>
      </c>
      <c r="R34" s="177">
        <f t="shared" si="15"/>
        <v>746</v>
      </c>
      <c r="S34" s="177">
        <f t="shared" si="15"/>
        <v>665.4</v>
      </c>
      <c r="T34" s="177">
        <f t="shared" si="15"/>
        <v>751</v>
      </c>
      <c r="U34" s="177">
        <f t="shared" si="15"/>
        <v>815.6</v>
      </c>
      <c r="V34" s="177">
        <f t="shared" si="15"/>
        <v>751</v>
      </c>
      <c r="W34" s="177">
        <f t="shared" si="15"/>
        <v>751</v>
      </c>
      <c r="X34" s="177">
        <f t="shared" si="15"/>
        <v>751</v>
      </c>
      <c r="Y34" s="177">
        <f t="shared" si="15"/>
        <v>751</v>
      </c>
      <c r="Z34" s="177">
        <f t="shared" si="15"/>
        <v>751</v>
      </c>
      <c r="AA34" s="177">
        <f t="shared" si="15"/>
        <v>751</v>
      </c>
      <c r="AB34" s="177">
        <f t="shared" si="15"/>
        <v>751</v>
      </c>
      <c r="AC34" s="177">
        <f t="shared" si="15"/>
        <v>751</v>
      </c>
      <c r="AD34" s="177">
        <f t="shared" si="15"/>
        <v>751</v>
      </c>
      <c r="AE34" s="177">
        <f t="shared" si="15"/>
        <v>751</v>
      </c>
      <c r="AF34" s="177">
        <f t="shared" si="15"/>
        <v>1502</v>
      </c>
      <c r="AG34" s="177">
        <f t="shared" si="15"/>
        <v>17107</v>
      </c>
    </row>
    <row r="35" spans="1:37">
      <c r="G35" s="175"/>
      <c r="H35" s="175"/>
      <c r="I35" s="175"/>
      <c r="J35" s="175"/>
      <c r="K35" s="175"/>
      <c r="L35" s="175"/>
      <c r="M35" s="175"/>
      <c r="N35" s="175"/>
      <c r="O35" s="175"/>
      <c r="P35" s="175"/>
      <c r="Q35" s="175"/>
      <c r="R35" s="175"/>
      <c r="S35" s="175"/>
      <c r="T35" s="175"/>
      <c r="U35" s="175"/>
      <c r="V35" s="175"/>
      <c r="W35" s="175"/>
      <c r="X35" s="175"/>
      <c r="Y35" s="175"/>
      <c r="Z35" s="175"/>
      <c r="AA35" s="175"/>
      <c r="AB35" s="175"/>
      <c r="AC35" s="175"/>
      <c r="AD35" s="175"/>
    </row>
    <row r="36" spans="1:37">
      <c r="A36" s="174" t="s">
        <v>374</v>
      </c>
      <c r="G36" s="175">
        <v>918</v>
      </c>
      <c r="H36" s="175">
        <v>1360</v>
      </c>
      <c r="I36" s="175">
        <v>646</v>
      </c>
      <c r="J36" s="175">
        <v>0</v>
      </c>
      <c r="K36" s="175">
        <v>0</v>
      </c>
      <c r="L36" s="175">
        <v>0</v>
      </c>
      <c r="M36" s="175">
        <v>0</v>
      </c>
      <c r="N36" s="175">
        <v>0</v>
      </c>
      <c r="O36" s="175">
        <v>0</v>
      </c>
      <c r="P36" s="175">
        <v>0</v>
      </c>
      <c r="Q36" s="175">
        <v>0</v>
      </c>
      <c r="R36" s="175">
        <v>0</v>
      </c>
      <c r="S36" s="175">
        <v>0</v>
      </c>
      <c r="T36" s="175"/>
      <c r="U36" s="175"/>
      <c r="V36" s="175"/>
      <c r="W36" s="175"/>
      <c r="X36" s="175"/>
      <c r="Y36" s="175"/>
      <c r="Z36" s="175"/>
      <c r="AA36" s="175"/>
      <c r="AB36" s="175"/>
      <c r="AC36" s="175"/>
      <c r="AD36" s="175"/>
    </row>
    <row r="37" spans="1:37">
      <c r="A37" s="174" t="s">
        <v>375</v>
      </c>
      <c r="G37" s="175">
        <v>616.14</v>
      </c>
      <c r="H37" s="175">
        <v>733.5</v>
      </c>
      <c r="I37" s="175">
        <v>645.48</v>
      </c>
      <c r="J37" s="175">
        <v>234.72</v>
      </c>
      <c r="K37" s="175">
        <v>1877.76</v>
      </c>
      <c r="L37" s="175">
        <v>1173.5999999999999</v>
      </c>
      <c r="M37" s="175">
        <v>176.04</v>
      </c>
      <c r="N37" s="175">
        <v>176.04</v>
      </c>
      <c r="O37" s="175">
        <v>234.72</v>
      </c>
      <c r="P37" s="175">
        <v>117.36</v>
      </c>
      <c r="Q37" s="175">
        <v>0</v>
      </c>
      <c r="R37" s="175">
        <v>58.68</v>
      </c>
      <c r="S37" s="175">
        <v>0</v>
      </c>
      <c r="T37" s="175"/>
      <c r="U37" s="175">
        <v>440.1</v>
      </c>
      <c r="V37" s="175">
        <v>352.08</v>
      </c>
      <c r="W37" s="175">
        <v>352.08</v>
      </c>
      <c r="X37" s="175">
        <v>234.72</v>
      </c>
      <c r="Y37" s="175"/>
      <c r="Z37" s="175"/>
      <c r="AA37" s="175"/>
      <c r="AB37" s="175"/>
      <c r="AC37" s="175"/>
      <c r="AD37" s="175"/>
    </row>
    <row r="38" spans="1:37">
      <c r="A38" s="174" t="s">
        <v>376</v>
      </c>
      <c r="G38" s="175">
        <v>357.76</v>
      </c>
      <c r="H38" s="175">
        <v>798.08</v>
      </c>
      <c r="I38" s="175">
        <v>798.08</v>
      </c>
      <c r="J38" s="175">
        <v>0</v>
      </c>
      <c r="K38" s="175">
        <v>0</v>
      </c>
      <c r="L38" s="175">
        <v>0</v>
      </c>
      <c r="M38" s="175">
        <v>0</v>
      </c>
      <c r="N38" s="175">
        <v>0</v>
      </c>
      <c r="O38" s="175">
        <v>0</v>
      </c>
      <c r="P38" s="175">
        <v>0</v>
      </c>
      <c r="Q38" s="175">
        <v>0</v>
      </c>
      <c r="R38" s="175">
        <v>0</v>
      </c>
      <c r="S38" s="175">
        <v>0</v>
      </c>
      <c r="T38" s="175"/>
      <c r="U38" s="175"/>
      <c r="V38" s="175"/>
      <c r="W38" s="175"/>
      <c r="X38" s="175"/>
      <c r="Y38" s="175"/>
      <c r="Z38" s="175"/>
      <c r="AA38" s="175"/>
      <c r="AB38" s="175"/>
      <c r="AC38" s="175"/>
      <c r="AD38" s="175"/>
    </row>
    <row r="39" spans="1:37">
      <c r="A39" s="174" t="s">
        <v>377</v>
      </c>
      <c r="G39" s="175"/>
      <c r="H39" s="175">
        <v>674.5</v>
      </c>
      <c r="I39" s="175">
        <v>350.74</v>
      </c>
      <c r="J39" s="175">
        <v>0</v>
      </c>
      <c r="K39" s="175">
        <v>0</v>
      </c>
      <c r="L39" s="175">
        <v>0</v>
      </c>
      <c r="M39" s="175">
        <v>0</v>
      </c>
      <c r="N39" s="175">
        <v>0</v>
      </c>
      <c r="O39" s="175">
        <v>0</v>
      </c>
      <c r="P39" s="175">
        <v>0</v>
      </c>
      <c r="Q39" s="175">
        <v>0</v>
      </c>
      <c r="R39" s="175">
        <v>0</v>
      </c>
      <c r="S39" s="175">
        <v>0</v>
      </c>
      <c r="T39" s="175"/>
      <c r="U39" s="175"/>
      <c r="V39" s="175"/>
      <c r="W39" s="175"/>
      <c r="X39" s="175"/>
      <c r="Y39" s="175"/>
      <c r="Z39" s="175"/>
      <c r="AA39" s="175"/>
      <c r="AB39" s="175"/>
      <c r="AC39" s="175"/>
      <c r="AD39" s="175"/>
    </row>
    <row r="40" spans="1:37">
      <c r="G40" s="175">
        <f>SUM(G36:G39)</f>
        <v>1891.8999999999999</v>
      </c>
      <c r="H40" s="175">
        <f t="shared" ref="H40:AF40" si="16">SUM(H36:H39)</f>
        <v>3566.08</v>
      </c>
      <c r="I40" s="175">
        <f t="shared" si="16"/>
        <v>2440.3000000000002</v>
      </c>
      <c r="J40" s="175">
        <f t="shared" si="16"/>
        <v>234.72</v>
      </c>
      <c r="K40" s="175">
        <f t="shared" si="16"/>
        <v>1877.76</v>
      </c>
      <c r="L40" s="175">
        <f t="shared" si="16"/>
        <v>1173.5999999999999</v>
      </c>
      <c r="M40" s="175">
        <f t="shared" si="16"/>
        <v>176.04</v>
      </c>
      <c r="N40" s="175">
        <f t="shared" si="16"/>
        <v>176.04</v>
      </c>
      <c r="O40" s="175">
        <f t="shared" si="16"/>
        <v>234.72</v>
      </c>
      <c r="P40" s="175">
        <f t="shared" si="16"/>
        <v>117.36</v>
      </c>
      <c r="Q40" s="175">
        <f t="shared" si="16"/>
        <v>0</v>
      </c>
      <c r="R40" s="175">
        <f>SUM(R36:R39)</f>
        <v>58.68</v>
      </c>
      <c r="S40" s="175">
        <f t="shared" si="16"/>
        <v>0</v>
      </c>
      <c r="T40" s="175">
        <f t="shared" si="16"/>
        <v>0</v>
      </c>
      <c r="U40" s="175">
        <f t="shared" si="16"/>
        <v>440.1</v>
      </c>
      <c r="V40" s="175">
        <f t="shared" si="16"/>
        <v>352.08</v>
      </c>
      <c r="W40" s="175">
        <f t="shared" si="16"/>
        <v>352.08</v>
      </c>
      <c r="X40" s="175">
        <f t="shared" si="16"/>
        <v>234.72</v>
      </c>
      <c r="Y40" s="175"/>
      <c r="Z40" s="175"/>
      <c r="AA40" s="175"/>
      <c r="AB40" s="175"/>
      <c r="AC40" s="175"/>
      <c r="AD40" s="175"/>
      <c r="AE40" s="175">
        <f t="shared" si="16"/>
        <v>0</v>
      </c>
      <c r="AF40" s="175">
        <f t="shared" si="16"/>
        <v>0</v>
      </c>
    </row>
    <row r="41" spans="1:37">
      <c r="G41" s="175"/>
      <c r="H41" s="175"/>
      <c r="I41" s="175"/>
      <c r="J41" s="175"/>
      <c r="K41" s="175"/>
      <c r="L41" s="175"/>
      <c r="M41" s="175"/>
      <c r="N41" s="175"/>
      <c r="O41" s="175"/>
      <c r="P41" s="175"/>
      <c r="Q41" s="175"/>
      <c r="R41" s="175"/>
      <c r="S41" s="175"/>
      <c r="T41" s="175"/>
      <c r="U41" s="175"/>
      <c r="V41" s="175"/>
      <c r="W41" s="175"/>
      <c r="X41" s="175"/>
      <c r="Y41" s="175"/>
      <c r="Z41" s="175"/>
      <c r="AA41" s="175"/>
      <c r="AB41" s="175"/>
      <c r="AC41" s="175"/>
      <c r="AD41" s="175"/>
      <c r="AE41" s="175"/>
      <c r="AF41" s="175"/>
    </row>
    <row r="42" spans="1:37">
      <c r="G42" s="177">
        <f>SUM(G2:G40)/2</f>
        <v>12231.010000000002</v>
      </c>
      <c r="H42" s="177">
        <f t="shared" ref="H42:Q42" si="17">SUM(H2:H40)/2</f>
        <v>20156.540000000005</v>
      </c>
      <c r="I42" s="177">
        <f t="shared" si="17"/>
        <v>15699.350000000004</v>
      </c>
      <c r="J42" s="177">
        <f t="shared" si="17"/>
        <v>19849.490000000002</v>
      </c>
      <c r="K42" s="177">
        <f t="shared" si="17"/>
        <v>23135.570000000003</v>
      </c>
      <c r="L42" s="177">
        <f t="shared" si="17"/>
        <v>22140.29</v>
      </c>
      <c r="M42" s="177">
        <f t="shared" si="17"/>
        <v>20674.670000000002</v>
      </c>
      <c r="N42" s="177">
        <f t="shared" si="17"/>
        <v>21058.29</v>
      </c>
      <c r="O42" s="177">
        <f t="shared" si="17"/>
        <v>21471.370000000006</v>
      </c>
      <c r="P42" s="177">
        <f t="shared" si="17"/>
        <v>20951.850000000002</v>
      </c>
      <c r="Q42" s="177">
        <f t="shared" si="17"/>
        <v>17987.89</v>
      </c>
      <c r="R42" s="177">
        <f t="shared" ref="R42:AG42" si="18">SUM(R2:R40)/2</f>
        <v>20842.710000000003</v>
      </c>
      <c r="S42" s="177">
        <f t="shared" si="18"/>
        <v>17474.79</v>
      </c>
      <c r="T42" s="177">
        <f t="shared" si="18"/>
        <v>17572.650000000001</v>
      </c>
      <c r="U42" s="181">
        <f t="shared" si="18"/>
        <v>23961.949999999997</v>
      </c>
      <c r="V42" s="177">
        <f t="shared" si="18"/>
        <v>20424.830000000002</v>
      </c>
      <c r="W42" s="177">
        <f t="shared" si="18"/>
        <v>19379.770000000004</v>
      </c>
      <c r="X42" s="177">
        <f t="shared" si="18"/>
        <v>18525.690000000002</v>
      </c>
      <c r="Y42" s="177">
        <f t="shared" si="18"/>
        <v>17592.550000000003</v>
      </c>
      <c r="Z42" s="177">
        <f t="shared" si="18"/>
        <v>18432.75</v>
      </c>
      <c r="AA42" s="177">
        <f t="shared" si="18"/>
        <v>18970.550000000003</v>
      </c>
      <c r="AB42" s="177">
        <f t="shared" si="18"/>
        <v>18677.150000000001</v>
      </c>
      <c r="AC42" s="177">
        <f t="shared" si="18"/>
        <v>18699.71</v>
      </c>
      <c r="AD42" s="177">
        <f t="shared" si="18"/>
        <v>29307.889999999992</v>
      </c>
      <c r="AE42" s="177">
        <f t="shared" si="18"/>
        <v>19192.510563983487</v>
      </c>
      <c r="AF42" s="177">
        <f t="shared" si="18"/>
        <v>38385.021127966975</v>
      </c>
      <c r="AG42" s="177">
        <f t="shared" si="18"/>
        <v>461893.12999999989</v>
      </c>
    </row>
    <row r="46" spans="1:37">
      <c r="AD46" s="175"/>
    </row>
  </sheetData>
  <pageMargins left="0.7" right="0.7" top="0.75" bottom="0.75" header="0.3" footer="0.3"/>
  <pageSetup orientation="portrait" verticalDpi="597"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22524A-B0F9-4D6D-BA44-2F16C0BA261B}">
  <dimension ref="A1:Z997"/>
  <sheetViews>
    <sheetView workbookViewId="0">
      <selection activeCell="C28" sqref="C28"/>
    </sheetView>
  </sheetViews>
  <sheetFormatPr defaultColWidth="14.44140625" defaultRowHeight="15" customHeight="1"/>
  <cols>
    <col min="1" max="1" width="10.33203125" style="183" customWidth="1"/>
    <col min="2" max="2" width="10.5546875" style="183" customWidth="1"/>
    <col min="3" max="3" width="34.5546875" style="183" customWidth="1"/>
    <col min="4" max="4" width="11.33203125" style="183" customWidth="1"/>
    <col min="5" max="5" width="15.44140625" style="183" customWidth="1"/>
    <col min="6" max="6" width="12.109375" style="183" customWidth="1"/>
    <col min="7" max="7" width="12.33203125" style="183" customWidth="1"/>
    <col min="8" max="8" width="12.5546875" style="183" customWidth="1"/>
    <col min="9" max="9" width="12.33203125" style="183" customWidth="1"/>
    <col min="10" max="10" width="3.109375" style="183" customWidth="1"/>
    <col min="11" max="11" width="3.5546875" style="183" customWidth="1"/>
    <col min="12" max="12" width="11" style="183" customWidth="1"/>
    <col min="13" max="26" width="8" style="183" customWidth="1"/>
    <col min="27" max="16384" width="14.44140625" style="183"/>
  </cols>
  <sheetData>
    <row r="1" spans="1:26" ht="37.5" customHeight="1">
      <c r="A1" s="249" t="s">
        <v>381</v>
      </c>
      <c r="B1" s="228"/>
      <c r="C1" s="228"/>
      <c r="D1" s="228"/>
      <c r="E1" s="228"/>
      <c r="F1" s="228"/>
      <c r="G1" s="228"/>
      <c r="H1" s="228"/>
      <c r="I1" s="228"/>
      <c r="J1" s="182"/>
      <c r="K1" s="182"/>
    </row>
    <row r="2" spans="1:26" ht="30" customHeight="1">
      <c r="A2" s="247" t="s">
        <v>382</v>
      </c>
      <c r="B2" s="228"/>
      <c r="C2" s="228"/>
      <c r="D2" s="235" t="s">
        <v>383</v>
      </c>
      <c r="E2" s="236"/>
      <c r="F2" s="236"/>
      <c r="G2" s="236"/>
      <c r="H2" s="236"/>
      <c r="I2" s="236"/>
      <c r="J2" s="182"/>
      <c r="K2" s="182"/>
    </row>
    <row r="3" spans="1:26" ht="30" customHeight="1">
      <c r="A3" s="247" t="s">
        <v>384</v>
      </c>
      <c r="B3" s="228"/>
      <c r="C3" s="228"/>
      <c r="D3" s="250"/>
      <c r="E3" s="228"/>
      <c r="F3" s="228"/>
      <c r="G3" s="228"/>
      <c r="H3" s="228"/>
      <c r="I3" s="228"/>
      <c r="J3" s="182"/>
      <c r="K3" s="182"/>
    </row>
    <row r="4" spans="1:26" ht="30" customHeight="1">
      <c r="A4" s="247" t="s">
        <v>385</v>
      </c>
      <c r="B4" s="228"/>
      <c r="C4" s="228"/>
      <c r="D4" s="248"/>
      <c r="E4" s="232"/>
      <c r="F4" s="232"/>
      <c r="G4" s="232"/>
      <c r="H4" s="232"/>
      <c r="I4" s="232"/>
      <c r="J4" s="182"/>
      <c r="K4" s="182"/>
    </row>
    <row r="5" spans="1:26" ht="17.399999999999999">
      <c r="A5" s="237"/>
      <c r="B5" s="238"/>
      <c r="C5" s="238"/>
      <c r="D5" s="238"/>
      <c r="E5" s="238"/>
      <c r="F5" s="238"/>
      <c r="G5" s="238"/>
      <c r="H5" s="238"/>
      <c r="I5" s="238"/>
      <c r="J5" s="182"/>
      <c r="K5" s="182"/>
    </row>
    <row r="6" spans="1:26" ht="20.25" customHeight="1">
      <c r="A6" s="184" t="s">
        <v>386</v>
      </c>
      <c r="B6" s="184" t="s">
        <v>387</v>
      </c>
      <c r="C6" s="184" t="s">
        <v>388</v>
      </c>
      <c r="D6" s="184" t="s">
        <v>389</v>
      </c>
      <c r="E6" s="184" t="s">
        <v>390</v>
      </c>
      <c r="F6" s="184" t="s">
        <v>391</v>
      </c>
      <c r="G6" s="184" t="s">
        <v>392</v>
      </c>
      <c r="H6" s="184" t="s">
        <v>393</v>
      </c>
      <c r="I6" s="184" t="s">
        <v>394</v>
      </c>
      <c r="J6" s="185"/>
      <c r="K6" s="185"/>
      <c r="L6" s="186"/>
      <c r="M6" s="186"/>
      <c r="N6" s="186"/>
      <c r="O6" s="186"/>
      <c r="P6" s="186"/>
      <c r="Q6" s="186"/>
      <c r="R6" s="186"/>
      <c r="S6" s="186"/>
      <c r="T6" s="186"/>
      <c r="U6" s="186"/>
      <c r="V6" s="186"/>
      <c r="W6" s="186"/>
      <c r="X6" s="186"/>
      <c r="Y6" s="186"/>
      <c r="Z6" s="186"/>
    </row>
    <row r="7" spans="1:26" ht="45" customHeight="1">
      <c r="A7" s="187" t="s">
        <v>395</v>
      </c>
      <c r="B7" s="187" t="s">
        <v>396</v>
      </c>
      <c r="C7" s="187" t="s">
        <v>397</v>
      </c>
      <c r="D7" s="188" t="s">
        <v>398</v>
      </c>
      <c r="E7" s="187" t="s">
        <v>399</v>
      </c>
      <c r="F7" s="189" t="s">
        <v>400</v>
      </c>
      <c r="G7" s="188" t="s">
        <v>401</v>
      </c>
      <c r="H7" s="188" t="s">
        <v>402</v>
      </c>
      <c r="I7" s="188" t="s">
        <v>403</v>
      </c>
      <c r="J7" s="186"/>
      <c r="K7" s="186"/>
      <c r="L7" s="186"/>
      <c r="M7" s="186"/>
      <c r="N7" s="186"/>
      <c r="O7" s="186"/>
      <c r="P7" s="186"/>
      <c r="Q7" s="186"/>
      <c r="R7" s="186"/>
      <c r="S7" s="186"/>
      <c r="T7" s="186"/>
      <c r="U7" s="186"/>
      <c r="V7" s="186"/>
      <c r="W7" s="186"/>
      <c r="X7" s="186"/>
      <c r="Y7" s="186"/>
      <c r="Z7" s="186"/>
    </row>
    <row r="8" spans="1:26" ht="26.25" customHeight="1">
      <c r="A8" s="190"/>
      <c r="B8" s="190"/>
      <c r="C8" s="191" t="s">
        <v>404</v>
      </c>
      <c r="D8" s="192"/>
      <c r="E8" s="193"/>
      <c r="F8" s="194"/>
      <c r="G8" s="195"/>
      <c r="H8" s="195"/>
      <c r="I8" s="195"/>
    </row>
    <row r="9" spans="1:26" ht="15.75" customHeight="1">
      <c r="A9" s="190">
        <v>6500</v>
      </c>
      <c r="B9" s="190">
        <v>310</v>
      </c>
      <c r="C9" s="191" t="s">
        <v>405</v>
      </c>
      <c r="D9" s="192"/>
      <c r="E9" s="193">
        <v>4000</v>
      </c>
      <c r="F9" s="194">
        <v>1</v>
      </c>
      <c r="G9" s="195"/>
      <c r="H9" s="195"/>
      <c r="I9" s="195"/>
    </row>
    <row r="10" spans="1:26" ht="15.75" customHeight="1">
      <c r="A10" s="190">
        <v>6500</v>
      </c>
      <c r="B10" s="190">
        <v>310</v>
      </c>
      <c r="C10" s="191" t="s">
        <v>406</v>
      </c>
      <c r="D10" s="192"/>
      <c r="E10" s="193">
        <v>200</v>
      </c>
      <c r="F10" s="194">
        <v>1</v>
      </c>
      <c r="G10" s="195"/>
      <c r="H10" s="195"/>
      <c r="I10" s="195"/>
    </row>
    <row r="11" spans="1:26" ht="15.75" customHeight="1">
      <c r="A11" s="190">
        <v>6500</v>
      </c>
      <c r="B11" s="190">
        <v>310</v>
      </c>
      <c r="C11" s="196" t="s">
        <v>407</v>
      </c>
      <c r="D11" s="192"/>
      <c r="E11" s="197">
        <v>6500</v>
      </c>
      <c r="F11" s="194">
        <v>1</v>
      </c>
      <c r="G11" s="195"/>
      <c r="H11" s="195"/>
      <c r="I11" s="195"/>
    </row>
    <row r="12" spans="1:26" ht="15.75" customHeight="1">
      <c r="A12" s="190"/>
      <c r="B12" s="190"/>
      <c r="C12" s="191" t="s">
        <v>408</v>
      </c>
      <c r="D12" s="192"/>
      <c r="E12" s="193"/>
      <c r="G12" s="195"/>
      <c r="H12" s="195"/>
      <c r="I12" s="195"/>
    </row>
    <row r="13" spans="1:26" ht="26.25" customHeight="1">
      <c r="A13" s="190">
        <v>7500</v>
      </c>
      <c r="B13" s="190">
        <v>310</v>
      </c>
      <c r="C13" s="191" t="s">
        <v>409</v>
      </c>
      <c r="D13" s="192"/>
      <c r="E13" s="193">
        <v>6374.6796000000004</v>
      </c>
      <c r="F13" s="194">
        <v>1</v>
      </c>
      <c r="G13" s="195"/>
      <c r="H13" s="195"/>
      <c r="I13" s="195"/>
    </row>
    <row r="14" spans="1:26" ht="15.75" customHeight="1">
      <c r="A14" s="190"/>
      <c r="B14" s="190"/>
      <c r="C14" s="191" t="s">
        <v>410</v>
      </c>
      <c r="D14" s="192"/>
      <c r="E14" s="193"/>
      <c r="F14" s="194"/>
      <c r="G14" s="195"/>
      <c r="H14" s="195"/>
      <c r="I14" s="195"/>
      <c r="L14" s="198"/>
    </row>
    <row r="15" spans="1:26" ht="39" customHeight="1">
      <c r="A15" s="190">
        <v>7800</v>
      </c>
      <c r="B15" s="190">
        <v>652</v>
      </c>
      <c r="C15" s="196" t="s">
        <v>411</v>
      </c>
      <c r="D15" s="192"/>
      <c r="E15" s="197">
        <v>12006.64</v>
      </c>
      <c r="F15" s="194">
        <v>1</v>
      </c>
      <c r="G15" s="195"/>
      <c r="H15" s="195"/>
      <c r="I15" s="195"/>
      <c r="L15" s="198"/>
    </row>
    <row r="16" spans="1:26" ht="26.25" customHeight="1">
      <c r="A16" s="190">
        <v>7800</v>
      </c>
      <c r="B16" s="190">
        <v>310</v>
      </c>
      <c r="C16" s="191" t="s">
        <v>412</v>
      </c>
      <c r="D16" s="195"/>
      <c r="E16" s="193">
        <v>10608</v>
      </c>
      <c r="F16" s="194">
        <v>1</v>
      </c>
      <c r="G16" s="195"/>
      <c r="H16" s="195"/>
      <c r="I16" s="195"/>
    </row>
    <row r="17" spans="1:9" ht="39" customHeight="1">
      <c r="A17" s="190"/>
      <c r="B17" s="190"/>
      <c r="C17" s="191" t="s">
        <v>413</v>
      </c>
      <c r="D17" s="195"/>
      <c r="E17" s="193"/>
      <c r="F17" s="194"/>
      <c r="G17" s="195"/>
      <c r="H17" s="195"/>
      <c r="I17" s="195"/>
    </row>
    <row r="18" spans="1:9" ht="54.75" customHeight="1">
      <c r="A18" s="190">
        <v>7900</v>
      </c>
      <c r="B18" s="190">
        <v>360</v>
      </c>
      <c r="C18" s="196" t="s">
        <v>414</v>
      </c>
      <c r="D18" s="195"/>
      <c r="E18" s="193">
        <v>50800</v>
      </c>
      <c r="F18" s="194">
        <v>1</v>
      </c>
      <c r="G18" s="195"/>
      <c r="H18" s="195"/>
      <c r="I18" s="195"/>
    </row>
    <row r="19" spans="1:9" ht="26.25" customHeight="1">
      <c r="A19" s="190">
        <v>7900</v>
      </c>
      <c r="B19" s="190">
        <v>360</v>
      </c>
      <c r="C19" s="191" t="s">
        <v>415</v>
      </c>
      <c r="D19" s="199"/>
      <c r="E19" s="193">
        <v>39000</v>
      </c>
      <c r="F19" s="194">
        <v>1</v>
      </c>
      <c r="G19" s="195"/>
      <c r="H19" s="195"/>
      <c r="I19" s="195"/>
    </row>
    <row r="20" spans="1:9" ht="31.5" customHeight="1">
      <c r="A20" s="190"/>
      <c r="B20" s="190"/>
      <c r="C20" s="200" t="s">
        <v>416</v>
      </c>
      <c r="D20" s="195"/>
      <c r="E20" s="192"/>
      <c r="F20" s="192"/>
      <c r="G20" s="195"/>
      <c r="H20" s="195"/>
      <c r="I20" s="195"/>
    </row>
    <row r="21" spans="1:9" ht="30.75" customHeight="1">
      <c r="A21" s="190"/>
      <c r="B21" s="190"/>
      <c r="C21" s="191" t="s">
        <v>417</v>
      </c>
      <c r="D21" s="195"/>
      <c r="E21" s="193"/>
      <c r="F21" s="194"/>
      <c r="G21" s="195"/>
      <c r="H21" s="195"/>
      <c r="I21" s="195"/>
    </row>
    <row r="22" spans="1:9" ht="33.75" customHeight="1">
      <c r="A22" s="190">
        <v>5200</v>
      </c>
      <c r="B22" s="190">
        <v>310</v>
      </c>
      <c r="C22" s="191" t="s">
        <v>418</v>
      </c>
      <c r="D22" s="195"/>
      <c r="E22" s="193">
        <v>8000</v>
      </c>
      <c r="F22" s="194">
        <v>1</v>
      </c>
      <c r="G22" s="195"/>
      <c r="H22" s="195"/>
      <c r="I22" s="195"/>
    </row>
    <row r="23" spans="1:9" ht="35.25" customHeight="1">
      <c r="A23" s="190">
        <v>5200</v>
      </c>
      <c r="B23" s="190">
        <v>310</v>
      </c>
      <c r="C23" s="196" t="s">
        <v>419</v>
      </c>
      <c r="D23" s="195"/>
      <c r="E23" s="197">
        <v>7200</v>
      </c>
      <c r="F23" s="194">
        <v>1</v>
      </c>
      <c r="G23" s="195"/>
      <c r="H23" s="195"/>
      <c r="I23" s="195"/>
    </row>
    <row r="24" spans="1:9" ht="35.25" customHeight="1">
      <c r="A24" s="201">
        <v>5200</v>
      </c>
      <c r="B24" s="201">
        <v>310</v>
      </c>
      <c r="C24" s="196" t="s">
        <v>420</v>
      </c>
      <c r="D24" s="202"/>
      <c r="E24" s="197">
        <v>4600</v>
      </c>
      <c r="F24" s="203">
        <v>1</v>
      </c>
      <c r="G24" s="195"/>
      <c r="H24" s="195"/>
      <c r="I24" s="195"/>
    </row>
    <row r="25" spans="1:9" ht="26.25" customHeight="1">
      <c r="A25" s="190"/>
      <c r="B25" s="190"/>
      <c r="C25" s="191" t="s">
        <v>421</v>
      </c>
      <c r="D25" s="195"/>
      <c r="E25" s="192"/>
      <c r="F25" s="192"/>
      <c r="G25" s="195"/>
      <c r="H25" s="195"/>
      <c r="I25" s="195"/>
    </row>
    <row r="26" spans="1:9" ht="42" customHeight="1">
      <c r="A26" s="190">
        <v>5200</v>
      </c>
      <c r="B26" s="190">
        <v>230</v>
      </c>
      <c r="C26" s="196" t="s">
        <v>422</v>
      </c>
      <c r="D26" s="195"/>
      <c r="E26" s="197">
        <v>63000</v>
      </c>
      <c r="F26" s="194">
        <v>1</v>
      </c>
      <c r="G26" s="195"/>
      <c r="H26" s="195"/>
      <c r="I26" s="195"/>
    </row>
    <row r="27" spans="1:9" ht="15.75" customHeight="1">
      <c r="A27" s="195"/>
      <c r="B27" s="195"/>
      <c r="C27" s="191"/>
      <c r="D27" s="195"/>
      <c r="E27" s="204"/>
      <c r="F27" s="195"/>
      <c r="G27" s="195"/>
      <c r="H27" s="195"/>
      <c r="I27" s="195"/>
    </row>
    <row r="28" spans="1:9" ht="15.75" customHeight="1">
      <c r="A28" s="195"/>
      <c r="B28" s="195"/>
      <c r="C28" s="191"/>
      <c r="D28" s="195"/>
      <c r="E28" s="204"/>
      <c r="F28" s="195"/>
      <c r="G28" s="195"/>
      <c r="H28" s="195"/>
      <c r="I28" s="195"/>
    </row>
    <row r="29" spans="1:9" ht="15.75" customHeight="1">
      <c r="A29" s="195"/>
      <c r="B29" s="195"/>
      <c r="C29" s="191"/>
      <c r="D29" s="195"/>
      <c r="E29" s="204"/>
      <c r="F29" s="195"/>
      <c r="G29" s="195"/>
      <c r="H29" s="195"/>
      <c r="I29" s="195"/>
    </row>
    <row r="30" spans="1:9" ht="15.75" customHeight="1">
      <c r="A30" s="195"/>
      <c r="B30" s="195"/>
      <c r="C30" s="191"/>
      <c r="D30" s="195"/>
      <c r="E30" s="204"/>
      <c r="F30" s="195"/>
      <c r="G30" s="195"/>
      <c r="H30" s="195"/>
      <c r="I30" s="195"/>
    </row>
    <row r="31" spans="1:9" ht="15.75" customHeight="1">
      <c r="A31" s="195"/>
      <c r="B31" s="195"/>
      <c r="C31" s="191"/>
      <c r="D31" s="195"/>
      <c r="E31" s="204"/>
      <c r="F31" s="195"/>
      <c r="G31" s="195"/>
      <c r="H31" s="195"/>
      <c r="I31" s="195"/>
    </row>
    <row r="32" spans="1:9" ht="15.75" customHeight="1">
      <c r="A32" s="195"/>
      <c r="B32" s="195"/>
      <c r="C32" s="205"/>
      <c r="D32" s="195"/>
      <c r="E32" s="204"/>
      <c r="F32" s="195"/>
      <c r="G32" s="195"/>
      <c r="H32" s="195"/>
      <c r="I32" s="195"/>
    </row>
    <row r="33" spans="1:14" ht="15.75" customHeight="1">
      <c r="A33" s="195"/>
      <c r="B33" s="195"/>
      <c r="C33" s="191"/>
      <c r="D33" s="195"/>
      <c r="E33" s="204"/>
      <c r="F33" s="195"/>
      <c r="G33" s="195"/>
      <c r="H33" s="195"/>
      <c r="I33" s="195"/>
    </row>
    <row r="34" spans="1:14" ht="23.25" customHeight="1">
      <c r="A34" s="239" t="s">
        <v>423</v>
      </c>
      <c r="B34" s="240"/>
      <c r="C34" s="240"/>
      <c r="D34" s="241"/>
      <c r="E34" s="206">
        <f>SUM(E8:E33)</f>
        <v>212289.31959999999</v>
      </c>
      <c r="F34" s="242"/>
      <c r="G34" s="240"/>
      <c r="H34" s="240"/>
      <c r="I34" s="241"/>
    </row>
    <row r="35" spans="1:14" ht="17.25" customHeight="1">
      <c r="A35" s="243" t="s">
        <v>424</v>
      </c>
      <c r="B35" s="244"/>
      <c r="C35" s="244"/>
      <c r="D35" s="244"/>
      <c r="E35" s="244"/>
      <c r="F35" s="244"/>
      <c r="G35" s="244"/>
      <c r="H35" s="244"/>
      <c r="I35" s="244"/>
    </row>
    <row r="36" spans="1:14" ht="27" customHeight="1">
      <c r="A36" s="245" t="s">
        <v>425</v>
      </c>
      <c r="B36" s="228"/>
      <c r="C36" s="228"/>
      <c r="D36" s="228"/>
      <c r="E36" s="228"/>
      <c r="F36" s="228"/>
      <c r="G36" s="228"/>
      <c r="H36" s="228"/>
      <c r="I36" s="228"/>
    </row>
    <row r="37" spans="1:14" ht="30" customHeight="1">
      <c r="A37" s="246" t="s">
        <v>426</v>
      </c>
      <c r="B37" s="228"/>
      <c r="C37" s="228"/>
      <c r="D37" s="228"/>
      <c r="E37" s="228"/>
      <c r="F37" s="228"/>
      <c r="G37" s="228"/>
      <c r="H37" s="228"/>
      <c r="I37" s="228"/>
      <c r="J37" s="207"/>
      <c r="K37" s="207"/>
      <c r="L37" s="207"/>
      <c r="M37" s="207"/>
      <c r="N37" s="207"/>
    </row>
    <row r="38" spans="1:14" ht="30" customHeight="1">
      <c r="A38" s="234" t="s">
        <v>427</v>
      </c>
      <c r="B38" s="228"/>
      <c r="C38" s="228"/>
      <c r="D38" s="228"/>
      <c r="E38" s="228"/>
      <c r="F38" s="228"/>
      <c r="G38" s="228"/>
      <c r="H38" s="228"/>
      <c r="I38" s="228"/>
      <c r="J38" s="208"/>
      <c r="K38" s="208"/>
      <c r="L38" s="208"/>
      <c r="M38" s="208"/>
      <c r="N38" s="208"/>
    </row>
    <row r="39" spans="1:14" ht="30" customHeight="1">
      <c r="A39" s="230" t="s">
        <v>428</v>
      </c>
      <c r="B39" s="228"/>
      <c r="C39" s="235"/>
      <c r="D39" s="236"/>
      <c r="E39" s="236"/>
      <c r="F39" s="236"/>
      <c r="G39" s="236"/>
      <c r="H39" s="236"/>
      <c r="I39" s="236"/>
      <c r="J39" s="209"/>
      <c r="K39" s="209"/>
      <c r="L39" s="209"/>
      <c r="M39" s="209"/>
      <c r="N39" s="209"/>
    </row>
    <row r="40" spans="1:14" ht="30" customHeight="1">
      <c r="A40" s="230" t="s">
        <v>429</v>
      </c>
      <c r="B40" s="228"/>
      <c r="C40" s="231"/>
      <c r="D40" s="232"/>
      <c r="E40" s="232"/>
      <c r="F40" s="232"/>
      <c r="G40" s="232"/>
      <c r="H40" s="232"/>
      <c r="I40" s="232"/>
      <c r="J40" s="209"/>
      <c r="K40" s="209"/>
      <c r="L40" s="209"/>
      <c r="M40" s="209"/>
      <c r="N40" s="209"/>
    </row>
    <row r="41" spans="1:14" ht="30" customHeight="1">
      <c r="A41" s="230" t="s">
        <v>430</v>
      </c>
      <c r="B41" s="228"/>
      <c r="C41" s="231"/>
      <c r="D41" s="232"/>
      <c r="E41" s="232"/>
      <c r="F41" s="232"/>
      <c r="G41" s="232"/>
      <c r="H41" s="232"/>
      <c r="I41" s="232"/>
      <c r="J41" s="209"/>
      <c r="K41" s="209"/>
      <c r="L41" s="209"/>
      <c r="M41" s="209"/>
      <c r="N41" s="209"/>
    </row>
    <row r="42" spans="1:14" ht="30" customHeight="1">
      <c r="A42" s="230" t="s">
        <v>431</v>
      </c>
      <c r="B42" s="228"/>
      <c r="C42" s="231"/>
      <c r="D42" s="232"/>
      <c r="E42" s="232"/>
      <c r="F42" s="232"/>
      <c r="G42" s="232"/>
      <c r="H42" s="232"/>
      <c r="I42" s="232"/>
      <c r="J42" s="209"/>
      <c r="K42" s="209"/>
      <c r="L42" s="209"/>
      <c r="M42" s="209"/>
      <c r="N42" s="209"/>
    </row>
    <row r="43" spans="1:14" ht="30" customHeight="1">
      <c r="A43" s="233" t="s">
        <v>432</v>
      </c>
      <c r="B43" s="228"/>
      <c r="C43" s="228"/>
      <c r="D43" s="228"/>
      <c r="E43" s="228"/>
      <c r="F43" s="228"/>
      <c r="G43" s="228"/>
      <c r="H43" s="228"/>
      <c r="I43" s="228"/>
      <c r="J43" s="210"/>
      <c r="K43" s="210"/>
      <c r="L43" s="210"/>
      <c r="M43" s="210"/>
      <c r="N43" s="210"/>
    </row>
    <row r="44" spans="1:14" ht="30" customHeight="1">
      <c r="A44" s="234" t="s">
        <v>433</v>
      </c>
      <c r="B44" s="228"/>
      <c r="C44" s="228"/>
      <c r="D44" s="228"/>
      <c r="E44" s="228"/>
      <c r="F44" s="228"/>
      <c r="G44" s="228"/>
      <c r="H44" s="228"/>
      <c r="I44" s="228"/>
      <c r="J44" s="208"/>
      <c r="K44" s="208"/>
      <c r="L44" s="208"/>
      <c r="M44" s="208"/>
      <c r="N44" s="208"/>
    </row>
    <row r="45" spans="1:14" ht="30" customHeight="1">
      <c r="A45" s="230" t="s">
        <v>428</v>
      </c>
      <c r="B45" s="228"/>
      <c r="C45" s="235"/>
      <c r="D45" s="236"/>
      <c r="E45" s="236"/>
      <c r="F45" s="236"/>
      <c r="G45" s="236"/>
      <c r="H45" s="236"/>
      <c r="I45" s="236"/>
      <c r="J45" s="209"/>
      <c r="K45" s="209"/>
      <c r="L45" s="209"/>
      <c r="M45" s="209"/>
      <c r="N45" s="209"/>
    </row>
    <row r="46" spans="1:14" ht="30" customHeight="1">
      <c r="A46" s="230" t="s">
        <v>429</v>
      </c>
      <c r="B46" s="228"/>
      <c r="C46" s="231"/>
      <c r="D46" s="232"/>
      <c r="E46" s="232"/>
      <c r="F46" s="232"/>
      <c r="G46" s="232"/>
      <c r="H46" s="232"/>
      <c r="I46" s="232"/>
      <c r="J46" s="209"/>
      <c r="K46" s="209"/>
      <c r="L46" s="209"/>
      <c r="M46" s="209"/>
      <c r="N46" s="209"/>
    </row>
    <row r="47" spans="1:14" ht="30" customHeight="1">
      <c r="A47" s="230" t="s">
        <v>430</v>
      </c>
      <c r="B47" s="228"/>
      <c r="C47" s="231"/>
      <c r="D47" s="232"/>
      <c r="E47" s="232"/>
      <c r="F47" s="232"/>
      <c r="G47" s="232"/>
      <c r="H47" s="232"/>
      <c r="I47" s="232"/>
      <c r="J47" s="209"/>
      <c r="K47" s="209"/>
      <c r="L47" s="209"/>
      <c r="M47" s="209"/>
      <c r="N47" s="209"/>
    </row>
    <row r="48" spans="1:14" ht="30" customHeight="1">
      <c r="A48" s="230" t="s">
        <v>431</v>
      </c>
      <c r="B48" s="228"/>
      <c r="C48" s="231"/>
      <c r="D48" s="232"/>
      <c r="E48" s="232"/>
      <c r="F48" s="232"/>
      <c r="G48" s="232"/>
      <c r="H48" s="232"/>
      <c r="I48" s="232"/>
      <c r="J48" s="209"/>
      <c r="K48" s="209"/>
      <c r="L48" s="209"/>
      <c r="M48" s="209"/>
      <c r="N48" s="209"/>
    </row>
    <row r="49" spans="1:14" ht="30" customHeight="1">
      <c r="A49" s="227" t="s">
        <v>434</v>
      </c>
      <c r="B49" s="228"/>
      <c r="C49" s="228"/>
      <c r="D49" s="228"/>
      <c r="E49" s="228"/>
      <c r="F49" s="228"/>
      <c r="G49" s="228"/>
      <c r="H49" s="228"/>
      <c r="I49" s="228"/>
      <c r="J49" s="211"/>
      <c r="K49" s="211"/>
      <c r="L49" s="211"/>
      <c r="M49" s="211"/>
      <c r="N49" s="211"/>
    </row>
    <row r="50" spans="1:14" ht="30" customHeight="1">
      <c r="A50" s="229" t="s">
        <v>425</v>
      </c>
      <c r="B50" s="228"/>
      <c r="C50" s="228"/>
      <c r="D50" s="228"/>
      <c r="E50" s="228"/>
      <c r="F50" s="228"/>
      <c r="G50" s="228"/>
      <c r="H50" s="228"/>
      <c r="I50" s="228"/>
      <c r="J50" s="212"/>
      <c r="K50" s="212"/>
      <c r="L50" s="212"/>
      <c r="M50" s="212"/>
      <c r="N50" s="212"/>
    </row>
    <row r="51" spans="1:14" ht="15.75" customHeight="1"/>
    <row r="52" spans="1:14" ht="15.75" customHeight="1"/>
    <row r="53" spans="1:14" ht="15.75" customHeight="1"/>
    <row r="54" spans="1:14" ht="15.75" customHeight="1"/>
    <row r="55" spans="1:14" ht="15.75" customHeight="1"/>
    <row r="56" spans="1:14" ht="15.75" customHeight="1"/>
    <row r="57" spans="1:14" ht="15.75" customHeight="1"/>
    <row r="58" spans="1:14" ht="15.75" customHeight="1"/>
    <row r="59" spans="1:14" ht="15.75" customHeight="1"/>
    <row r="60" spans="1:14" ht="15.75" customHeight="1"/>
    <row r="61" spans="1:14" ht="15.75" customHeight="1"/>
    <row r="62" spans="1:14" ht="15.75" customHeight="1"/>
    <row r="63" spans="1:14" ht="15.75" customHeight="1"/>
    <row r="64" spans="1:1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sheetData>
  <mergeCells count="34">
    <mergeCell ref="A4:C4"/>
    <mergeCell ref="D4:I4"/>
    <mergeCell ref="A1:I1"/>
    <mergeCell ref="A2:C2"/>
    <mergeCell ref="D2:I2"/>
    <mergeCell ref="A3:C3"/>
    <mergeCell ref="D3:I3"/>
    <mergeCell ref="A41:B41"/>
    <mergeCell ref="C41:I41"/>
    <mergeCell ref="A5:I5"/>
    <mergeCell ref="A34:D34"/>
    <mergeCell ref="F34:I34"/>
    <mergeCell ref="A35:I35"/>
    <mergeCell ref="A36:I36"/>
    <mergeCell ref="A37:I37"/>
    <mergeCell ref="A38:I38"/>
    <mergeCell ref="A39:B39"/>
    <mergeCell ref="C39:I39"/>
    <mergeCell ref="A40:B40"/>
    <mergeCell ref="C40:I40"/>
    <mergeCell ref="A42:B42"/>
    <mergeCell ref="C42:I42"/>
    <mergeCell ref="A43:I43"/>
    <mergeCell ref="A44:I44"/>
    <mergeCell ref="A45:B45"/>
    <mergeCell ref="C45:I45"/>
    <mergeCell ref="A49:I49"/>
    <mergeCell ref="A50:I50"/>
    <mergeCell ref="A46:B46"/>
    <mergeCell ref="C46:I46"/>
    <mergeCell ref="A47:B47"/>
    <mergeCell ref="C47:I47"/>
    <mergeCell ref="A48:B48"/>
    <mergeCell ref="C48:I48"/>
  </mergeCells>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Budget</vt:lpstr>
      <vt:lpstr>Rev Input</vt:lpstr>
      <vt:lpstr>Payroll</vt:lpstr>
      <vt:lpstr>Expense Input</vt:lpstr>
      <vt:lpstr>CF 20</vt:lpstr>
      <vt:lpstr>PR FY20</vt:lpstr>
      <vt:lpstr>Restart Grant</vt:lpstr>
      <vt:lpstr>EnrNew</vt:lpstr>
      <vt:lpstr>EnrOld</vt:lpstr>
      <vt:lpstr>Inf</vt:lpstr>
      <vt:lpstr>PRInf</vt:lpstr>
      <vt:lpstr>'Expense Input'!Print_Titles</vt:lpstr>
      <vt:lpstr>Payroll!Print_Titles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Scott</dc:creator>
  <cp:lastModifiedBy>Desirae Kennemur</cp:lastModifiedBy>
  <cp:lastPrinted>2018-07-19T16:39:50Z</cp:lastPrinted>
  <dcterms:created xsi:type="dcterms:W3CDTF">2005-10-24T23:59:04Z</dcterms:created>
  <dcterms:modified xsi:type="dcterms:W3CDTF">2020-07-02T17:19:19Z</dcterms:modified>
</cp:coreProperties>
</file>