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K\Budget\Independent Schools\Budgets\FY19\CLS\"/>
    </mc:Choice>
  </mc:AlternateContent>
  <xr:revisionPtr revIDLastSave="0" documentId="10_ncr:8100000_{7111CA3E-B611-49D3-ACAE-D0602C2C0C54}" xr6:coauthVersionLast="34" xr6:coauthVersionMax="34" xr10:uidLastSave="{00000000-0000-0000-0000-000000000000}"/>
  <bookViews>
    <workbookView xWindow="0" yWindow="0" windowWidth="28800" windowHeight="10716" tabRatio="601" xr2:uid="{00000000-000D-0000-FFFF-FFFF00000000}"/>
  </bookViews>
  <sheets>
    <sheet name="Budget" sheetId="10" r:id="rId1"/>
    <sheet name="Rev Input" sheetId="8" r:id="rId2"/>
    <sheet name="Expense Input" sheetId="6" r:id="rId3"/>
    <sheet name="Payroll" sheetId="1" r:id="rId4"/>
    <sheet name="FY18" sheetId="28" state="hidden" r:id="rId5"/>
    <sheet name="PR18" sheetId="2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grp1">[1]SUMMARY!#REF!</definedName>
    <definedName name="_1.__2009_10_FEFP_State_and_Local_Funding">#REF!</definedName>
    <definedName name="_1.__2010_11_FEFP_State_and_Local_Funding">#REF!</definedName>
    <definedName name="_1_0g">[2]SUMMARY!#REF!</definedName>
    <definedName name="_101_Basic_K_3">#REF!</definedName>
    <definedName name="_102_Basic_4_8">#REF!</definedName>
    <definedName name="_103_Basic_9_12">#REF!</definedName>
    <definedName name="_111_Basic_K_3_with_ESE_Services">#REF!</definedName>
    <definedName name="_112_Basic_4_8_with_ESE_Services">#REF!</definedName>
    <definedName name="_113_Basic_9_12_with_ESE_Services">#REF!</definedName>
    <definedName name="_130_ESOL__Grade_Level_4_8">#REF!</definedName>
    <definedName name="_130_ESOL__Grade_Level_9_12">#REF!</definedName>
    <definedName name="_130_ESOL__Grade_Level_PK_3">#REF!</definedName>
    <definedName name="_2.__ESE_Guaranteed_Allocation">#REF!</definedName>
    <definedName name="_2010_11_Base_Funding_WFTE_x_BSA_x_DCD">#REF!</definedName>
    <definedName name="_254_ESE_Level_4__Grade_Level_4_8">#REF!</definedName>
    <definedName name="_254_ESE_Level_4__Grade_Level_9_12">#REF!</definedName>
    <definedName name="_254_ESE_Level_4__Grade_Level_PK_3">#REF!</definedName>
    <definedName name="_255_ESE_Level_5__Grade_Level_4_8">#REF!</definedName>
    <definedName name="_255_ESE_Level_5__Grade_Level_9_12">#REF!</definedName>
    <definedName name="_255_ESE_Level_5__Grade_Level_PK_3">#REF!</definedName>
    <definedName name="_2g">[2]SUMMARY!#REF!</definedName>
    <definedName name="_3.__Supplemental_Academic_Instruction">#REF!</definedName>
    <definedName name="_300_Career_Education__Grades_9_12">#REF!</definedName>
    <definedName name="_4_8">#REF!</definedName>
    <definedName name="_9_12">#REF!</definedName>
    <definedName name="_Add_On_FTE">#REF!</definedName>
    <definedName name="_xlnm._FilterDatabase" localSheetId="0" hidden="1">Budget!$I$1:$I$307</definedName>
    <definedName name="_xlnm._FilterDatabase" localSheetId="2" hidden="1">'Expense Input'!$P$1:$P$154</definedName>
    <definedName name="_xlnm._FilterDatabase" localSheetId="3" hidden="1">Payroll!$N$1:$N$111</definedName>
    <definedName name="_xlnm._FilterDatabase" localSheetId="1" hidden="1">'Rev Input'!$M$1:$M$190</definedName>
    <definedName name="_grp1">[3]SUMMARY!#REF!</definedName>
    <definedName name="Actual_Additional_.25_Discretionary_Revenue">'[4] Detail 2016-17 Second FEFP'!#REF!</definedName>
    <definedName name="Add_On_FTE">#REF!</definedName>
    <definedName name="Allocation_factors">#REF!</definedName>
    <definedName name="ARRA_State_Fiscal_Stabilization">'[4] Detail 2016-17 Second FEFP'!#REF!</definedName>
    <definedName name="Base_Student_Allocation">#REF!</definedName>
    <definedName name="Based_on_the_Second_Calculation_of_the_FEFP_2010_11">#REF!</definedName>
    <definedName name="CAP" localSheetId="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d_grp1">[2]SUMMARY!#REF!</definedName>
    <definedName name="DCD">#REF!</definedName>
    <definedName name="Discretionary_Tax_Compression_0.25_mills">'[4] Detail 2016-17 Second FEFP'!#REF!</definedName>
    <definedName name="District_Cost_Differential">#REF!</definedName>
    <definedName name="District_SAI_Allocation">#REF!</definedName>
    <definedName name="divided_by_district_FTE">#REF!</definedName>
    <definedName name="EnrNew">'Rev Input'!$J$43</definedName>
    <definedName name="EnrOld">'Rev Input'!$J$42</definedName>
    <definedName name="Equal_Percent_Adjustment">'[4] Detail 2016-17 Second FEFP'!#REF!</definedName>
    <definedName name="ExpInf">#REF!</definedName>
    <definedName name="FTE">#REF!</definedName>
    <definedName name="Grade_Level">#REF!</definedName>
    <definedName name="GSFA" localSheetId="0">[5]PBEDL!#REF!</definedName>
    <definedName name="GSFA" localSheetId="2">[5]PBEDL!#REF!</definedName>
    <definedName name="GSFA">[6]Data!#REF!</definedName>
    <definedName name="Guarantee_Per_Student">#REF!</definedName>
    <definedName name="HTML_CodePage" hidden="1">1252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nf">'Rev Input'!$J$44</definedName>
    <definedName name="InfPayroll">'[7]Payroll Input'!$D$260</definedName>
    <definedName name="Matrix_Level">#REF!</definedName>
    <definedName name="Mgr" localSheetId="0">[5]PBEDL!#REF!</definedName>
    <definedName name="Mgr" localSheetId="2">[5]PBEDL!#REF!</definedName>
    <definedName name="Mgr">[6]Data!#REF!</definedName>
    <definedName name="Number_of_FTE">#REF!</definedName>
    <definedName name="Per_Student">#REF!</definedName>
    <definedName name="PK___3">#REF!</definedName>
    <definedName name="PRACTICE" localSheetId="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PRInf">'Rev Input'!$J$45</definedName>
    <definedName name="print">'[8]Forecast WS'!$A$6:$R$142</definedName>
    <definedName name="_xlnm.Print_Titles" localSheetId="2">'Expense Input'!$1:$7</definedName>
    <definedName name="_xlnm.Print_Titles" localSheetId="3">Payroll!$11:$13</definedName>
    <definedName name="Program">#REF!</definedName>
    <definedName name="Program______________________________Cost_Factor">#REF!</definedName>
    <definedName name="Proratioin_to_Veto">'[4] Detail 2016-17 Second FEFP'!#REF!</definedName>
    <definedName name="Proration_to_the_Appropriation">'[4] Detail 2016-17 Second FEFP'!#REF!</definedName>
    <definedName name="Revenue_Estimate_Worksheet_for___________Charter_School">#REF!</definedName>
    <definedName name="RevInf">#REF!</definedName>
    <definedName name="School_District">#REF!</definedName>
    <definedName name="Science_Lab_Materials_Allocation">'[4] Detail 2016-17 Second FEFP'!#REF!</definedName>
    <definedName name="Total">#REF!</definedName>
    <definedName name="Total_Class_Size_Reduction_Funds">#REF!</definedName>
    <definedName name="Total_from_ESE_Guarantee">#REF!</definedName>
    <definedName name="Total_FTE_with_ESE_Services">#REF!</definedName>
    <definedName name="Totals">#REF!</definedName>
    <definedName name="Weighted_FTE____________b__x__c">#REF!</definedName>
    <definedName name="Weighted_FTE__From_Section_1">#REF!</definedName>
    <definedName name="wrn.Base._.Data._.Comparison." localSheetId="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localSheetId="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calcId="162913"/>
</workbook>
</file>

<file path=xl/calcChain.xml><?xml version="1.0" encoding="utf-8"?>
<calcChain xmlns="http://schemas.openxmlformats.org/spreadsheetml/2006/main">
  <c r="M34" i="6" l="1"/>
  <c r="E28" i="1" l="1"/>
  <c r="E27" i="1"/>
  <c r="J14" i="8"/>
  <c r="H20" i="10" s="1"/>
  <c r="B26" i="10"/>
  <c r="C26" i="10"/>
  <c r="D26" i="10"/>
  <c r="E26" i="10"/>
  <c r="G26" i="10"/>
  <c r="H26" i="10"/>
  <c r="B17" i="10"/>
  <c r="C17" i="10"/>
  <c r="D17" i="10"/>
  <c r="E17" i="10"/>
  <c r="G17" i="10"/>
  <c r="H17" i="10"/>
  <c r="B18" i="10"/>
  <c r="C18" i="10"/>
  <c r="D18" i="10"/>
  <c r="E18" i="10"/>
  <c r="G18" i="10"/>
  <c r="B19" i="10"/>
  <c r="C19" i="10"/>
  <c r="D19" i="10"/>
  <c r="E19" i="10"/>
  <c r="G19" i="10"/>
  <c r="H19" i="10"/>
  <c r="B20" i="10"/>
  <c r="C20" i="10"/>
  <c r="D20" i="10"/>
  <c r="E20" i="10"/>
  <c r="G20" i="10"/>
  <c r="B21" i="10"/>
  <c r="C21" i="10"/>
  <c r="D21" i="10"/>
  <c r="E21" i="10"/>
  <c r="G21" i="10"/>
  <c r="H21" i="10"/>
  <c r="B22" i="10"/>
  <c r="C22" i="10"/>
  <c r="D22" i="10"/>
  <c r="E22" i="10"/>
  <c r="G22" i="10"/>
  <c r="B23" i="10"/>
  <c r="C23" i="10"/>
  <c r="D23" i="10"/>
  <c r="E23" i="10"/>
  <c r="G23" i="10"/>
  <c r="B24" i="10"/>
  <c r="C24" i="10"/>
  <c r="D24" i="10"/>
  <c r="E24" i="10"/>
  <c r="G24" i="10"/>
  <c r="B25" i="10"/>
  <c r="C25" i="10"/>
  <c r="D25" i="10"/>
  <c r="E25" i="10"/>
  <c r="G25" i="10"/>
  <c r="G16" i="10"/>
  <c r="E16" i="10"/>
  <c r="D16" i="10"/>
  <c r="C16" i="10"/>
  <c r="B16" i="10"/>
  <c r="H249" i="10"/>
  <c r="I249" i="10" s="1"/>
  <c r="G249" i="10"/>
  <c r="E249" i="10"/>
  <c r="D249" i="10"/>
  <c r="C249" i="10"/>
  <c r="B249" i="10"/>
  <c r="N249" i="10" s="1"/>
  <c r="P39" i="6"/>
  <c r="I113" i="10"/>
  <c r="M249" i="10" l="1"/>
  <c r="I102" i="1"/>
  <c r="I101" i="1"/>
  <c r="I100" i="1"/>
  <c r="I99" i="1"/>
  <c r="I98" i="1"/>
  <c r="I96" i="1"/>
  <c r="I95" i="1"/>
  <c r="I94" i="1"/>
  <c r="I92" i="1"/>
  <c r="I91" i="1"/>
  <c r="I90" i="1"/>
  <c r="I89" i="1"/>
  <c r="I88" i="1"/>
  <c r="I87" i="1"/>
  <c r="I85" i="1"/>
  <c r="I84" i="1"/>
  <c r="I83" i="1"/>
  <c r="I82" i="1"/>
  <c r="I80" i="1"/>
  <c r="I79" i="1"/>
  <c r="I78" i="1"/>
  <c r="I77" i="1"/>
  <c r="I76" i="1"/>
  <c r="I73" i="1"/>
  <c r="I72" i="1"/>
  <c r="I71" i="1"/>
  <c r="I70" i="1"/>
  <c r="I68" i="1"/>
  <c r="I67" i="1"/>
  <c r="I66" i="1"/>
  <c r="I64" i="1"/>
  <c r="I63" i="1"/>
  <c r="I62" i="1"/>
  <c r="I61" i="1"/>
  <c r="I60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39" i="1"/>
  <c r="I38" i="1"/>
  <c r="I37" i="1"/>
  <c r="I36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V19" i="28"/>
  <c r="V20" i="28"/>
  <c r="V21" i="28"/>
  <c r="V22" i="28"/>
  <c r="V23" i="28"/>
  <c r="V18" i="28"/>
  <c r="T13" i="28"/>
  <c r="T73" i="28"/>
  <c r="T35" i="28"/>
  <c r="U23" i="28"/>
  <c r="U21" i="28"/>
  <c r="U22" i="28"/>
  <c r="U20" i="28"/>
  <c r="U19" i="28"/>
  <c r="U18" i="28"/>
  <c r="U17" i="28"/>
  <c r="D79" i="1"/>
  <c r="D78" i="1"/>
  <c r="D77" i="1"/>
  <c r="D62" i="1"/>
  <c r="D61" i="1"/>
  <c r="D60" i="1"/>
  <c r="D44" i="1"/>
  <c r="D45" i="1"/>
  <c r="D46" i="1"/>
  <c r="D47" i="1"/>
  <c r="D48" i="1"/>
  <c r="D43" i="1"/>
  <c r="D28" i="1"/>
  <c r="D27" i="1"/>
  <c r="D18" i="1"/>
  <c r="D17" i="1"/>
  <c r="D15" i="1"/>
  <c r="E15" i="1" s="1"/>
  <c r="D16" i="1"/>
  <c r="J30" i="29"/>
  <c r="J6" i="29"/>
  <c r="J10" i="29"/>
  <c r="J18" i="29"/>
  <c r="J23" i="29"/>
  <c r="J28" i="29"/>
  <c r="J26" i="29"/>
  <c r="J27" i="29"/>
  <c r="J25" i="29"/>
  <c r="J22" i="29"/>
  <c r="J21" i="29"/>
  <c r="J20" i="29"/>
  <c r="J12" i="29"/>
  <c r="J17" i="29"/>
  <c r="J16" i="29"/>
  <c r="J15" i="29"/>
  <c r="J14" i="29"/>
  <c r="J13" i="29"/>
  <c r="J9" i="29"/>
  <c r="J8" i="29"/>
  <c r="J5" i="29"/>
  <c r="J4" i="29"/>
  <c r="J3" i="29"/>
  <c r="J2" i="29"/>
  <c r="I28" i="29"/>
  <c r="H28" i="29"/>
  <c r="G28" i="29"/>
  <c r="F28" i="29"/>
  <c r="E28" i="29"/>
  <c r="D28" i="29"/>
  <c r="C28" i="29"/>
  <c r="B28" i="29"/>
  <c r="I23" i="29"/>
  <c r="H23" i="29"/>
  <c r="G23" i="29"/>
  <c r="F23" i="29"/>
  <c r="E23" i="29"/>
  <c r="D23" i="29"/>
  <c r="C23" i="29"/>
  <c r="B23" i="29"/>
  <c r="I18" i="29"/>
  <c r="H18" i="29"/>
  <c r="G18" i="29"/>
  <c r="F18" i="29"/>
  <c r="E18" i="29"/>
  <c r="D18" i="29"/>
  <c r="C18" i="29"/>
  <c r="B18" i="29"/>
  <c r="I10" i="29"/>
  <c r="H10" i="29"/>
  <c r="G10" i="29"/>
  <c r="F10" i="29"/>
  <c r="E10" i="29"/>
  <c r="D10" i="29"/>
  <c r="C10" i="29"/>
  <c r="B10" i="29"/>
  <c r="I6" i="29"/>
  <c r="H6" i="29"/>
  <c r="G6" i="29"/>
  <c r="F6" i="29"/>
  <c r="E6" i="29"/>
  <c r="D6" i="29"/>
  <c r="C6" i="29"/>
  <c r="B6" i="29"/>
  <c r="M41" i="6" l="1"/>
  <c r="M42" i="6"/>
  <c r="M43" i="6"/>
  <c r="M44" i="6"/>
  <c r="M45" i="6"/>
  <c r="M46" i="6"/>
  <c r="M35" i="6"/>
  <c r="M25" i="6"/>
  <c r="M26" i="6"/>
  <c r="M27" i="6"/>
  <c r="M28" i="6"/>
  <c r="M29" i="6"/>
  <c r="M20" i="6"/>
  <c r="M21" i="6"/>
  <c r="M22" i="6"/>
  <c r="M19" i="6"/>
  <c r="M10" i="6"/>
  <c r="M11" i="6"/>
  <c r="M12" i="6"/>
  <c r="M13" i="6"/>
  <c r="M14" i="6"/>
  <c r="M15" i="6"/>
  <c r="M16" i="6"/>
  <c r="M17" i="6"/>
  <c r="M18" i="6"/>
  <c r="M23" i="6"/>
  <c r="J10" i="8"/>
  <c r="H16" i="10" s="1"/>
  <c r="J49" i="8"/>
  <c r="J50" i="8"/>
  <c r="J19" i="8"/>
  <c r="J17" i="8"/>
  <c r="M13" i="8"/>
  <c r="M11" i="8"/>
  <c r="M17" i="8" l="1"/>
  <c r="H23" i="10"/>
  <c r="M48" i="6"/>
  <c r="M47" i="6" s="1"/>
  <c r="H25" i="10"/>
  <c r="I185" i="10"/>
  <c r="I186" i="10"/>
  <c r="I187" i="10"/>
  <c r="B263" i="10"/>
  <c r="M263" i="10" s="1"/>
  <c r="C263" i="10"/>
  <c r="D263" i="10"/>
  <c r="E263" i="10"/>
  <c r="G263" i="10"/>
  <c r="N24" i="10"/>
  <c r="M25" i="10"/>
  <c r="N25" i="10"/>
  <c r="M26" i="10"/>
  <c r="N26" i="10"/>
  <c r="M27" i="10"/>
  <c r="N27" i="10"/>
  <c r="M28" i="10"/>
  <c r="N28" i="10"/>
  <c r="M29" i="10"/>
  <c r="N29" i="10"/>
  <c r="M30" i="10"/>
  <c r="N30" i="10"/>
  <c r="M31" i="10"/>
  <c r="N31" i="10"/>
  <c r="M32" i="10"/>
  <c r="N32" i="10"/>
  <c r="M33" i="10"/>
  <c r="N33" i="10"/>
  <c r="M34" i="10"/>
  <c r="N34" i="10"/>
  <c r="M35" i="10"/>
  <c r="N35" i="10"/>
  <c r="M36" i="10"/>
  <c r="N36" i="10"/>
  <c r="M37" i="10"/>
  <c r="N37" i="10"/>
  <c r="M38" i="10"/>
  <c r="N38" i="10"/>
  <c r="M39" i="10"/>
  <c r="N39" i="10"/>
  <c r="M40" i="10"/>
  <c r="N40" i="10"/>
  <c r="M45" i="10"/>
  <c r="N45" i="10"/>
  <c r="M46" i="10"/>
  <c r="N46" i="10"/>
  <c r="M47" i="10"/>
  <c r="N47" i="10"/>
  <c r="M48" i="10"/>
  <c r="N48" i="10"/>
  <c r="M49" i="10"/>
  <c r="N49" i="10"/>
  <c r="M50" i="10"/>
  <c r="N50" i="10"/>
  <c r="M51" i="10"/>
  <c r="N51" i="10"/>
  <c r="M52" i="10"/>
  <c r="N52" i="10"/>
  <c r="M53" i="10"/>
  <c r="N53" i="10"/>
  <c r="M54" i="10"/>
  <c r="N54" i="10"/>
  <c r="M55" i="10"/>
  <c r="N55" i="10"/>
  <c r="M56" i="10"/>
  <c r="N56" i="10"/>
  <c r="M57" i="10"/>
  <c r="N57" i="10"/>
  <c r="M58" i="10"/>
  <c r="N58" i="10"/>
  <c r="M59" i="10"/>
  <c r="N59" i="10"/>
  <c r="M60" i="10"/>
  <c r="N60" i="10"/>
  <c r="M61" i="10"/>
  <c r="N61" i="10"/>
  <c r="M62" i="10"/>
  <c r="N62" i="10"/>
  <c r="M63" i="10"/>
  <c r="N63" i="10"/>
  <c r="M64" i="10"/>
  <c r="N64" i="10"/>
  <c r="M65" i="10"/>
  <c r="N65" i="10"/>
  <c r="M66" i="10"/>
  <c r="N66" i="10"/>
  <c r="M67" i="10"/>
  <c r="N67" i="10"/>
  <c r="M68" i="10"/>
  <c r="N68" i="10"/>
  <c r="M69" i="10"/>
  <c r="N69" i="10"/>
  <c r="M70" i="10"/>
  <c r="N70" i="10"/>
  <c r="M71" i="10"/>
  <c r="N71" i="10"/>
  <c r="N72" i="10"/>
  <c r="N73" i="10"/>
  <c r="M74" i="10"/>
  <c r="N74" i="10"/>
  <c r="N75" i="10"/>
  <c r="N76" i="10"/>
  <c r="N77" i="10"/>
  <c r="N78" i="10"/>
  <c r="N79" i="10"/>
  <c r="N80" i="10"/>
  <c r="M81" i="10"/>
  <c r="N81" i="10"/>
  <c r="M89" i="10"/>
  <c r="N89" i="10"/>
  <c r="M90" i="10"/>
  <c r="N90" i="10"/>
  <c r="M91" i="10"/>
  <c r="N91" i="10"/>
  <c r="M92" i="10"/>
  <c r="N92" i="10"/>
  <c r="M93" i="10"/>
  <c r="N93" i="10"/>
  <c r="M94" i="10"/>
  <c r="N94" i="10"/>
  <c r="M95" i="10"/>
  <c r="N95" i="10"/>
  <c r="M96" i="10"/>
  <c r="N96" i="10"/>
  <c r="M97" i="10"/>
  <c r="N97" i="10"/>
  <c r="M98" i="10"/>
  <c r="N98" i="10"/>
  <c r="M99" i="10"/>
  <c r="N99" i="10"/>
  <c r="M100" i="10"/>
  <c r="N100" i="10"/>
  <c r="M101" i="10"/>
  <c r="N101" i="10"/>
  <c r="M102" i="10"/>
  <c r="N102" i="10"/>
  <c r="M103" i="10"/>
  <c r="N103" i="10"/>
  <c r="M104" i="10"/>
  <c r="N104" i="10"/>
  <c r="M105" i="10"/>
  <c r="N105" i="10"/>
  <c r="M106" i="10"/>
  <c r="N106" i="10"/>
  <c r="N107" i="10"/>
  <c r="N108" i="10"/>
  <c r="N109" i="10"/>
  <c r="N110" i="10"/>
  <c r="N111" i="10"/>
  <c r="N112" i="10"/>
  <c r="M113" i="10"/>
  <c r="N113" i="10"/>
  <c r="M115" i="10"/>
  <c r="N115" i="10"/>
  <c r="M116" i="10"/>
  <c r="N116" i="10"/>
  <c r="M117" i="10"/>
  <c r="N117" i="10"/>
  <c r="N118" i="10"/>
  <c r="N119" i="10"/>
  <c r="N120" i="10"/>
  <c r="N121" i="10"/>
  <c r="N122" i="10"/>
  <c r="N123" i="10"/>
  <c r="M124" i="10"/>
  <c r="N124" i="10"/>
  <c r="M125" i="10"/>
  <c r="N125" i="10"/>
  <c r="M126" i="10"/>
  <c r="N126" i="10"/>
  <c r="M127" i="10"/>
  <c r="N127" i="10"/>
  <c r="M128" i="10"/>
  <c r="N128" i="10"/>
  <c r="M129" i="10"/>
  <c r="N129" i="10"/>
  <c r="M130" i="10"/>
  <c r="N130" i="10"/>
  <c r="M131" i="10"/>
  <c r="N131" i="10"/>
  <c r="M133" i="10"/>
  <c r="N133" i="10"/>
  <c r="M134" i="10"/>
  <c r="N134" i="10"/>
  <c r="M135" i="10"/>
  <c r="N135" i="10"/>
  <c r="M137" i="10"/>
  <c r="N137" i="10"/>
  <c r="M138" i="10"/>
  <c r="N138" i="10"/>
  <c r="M139" i="10"/>
  <c r="N139" i="10"/>
  <c r="M140" i="10"/>
  <c r="N140" i="10"/>
  <c r="M141" i="10"/>
  <c r="N141" i="10"/>
  <c r="M142" i="10"/>
  <c r="N142" i="10"/>
  <c r="M143" i="10"/>
  <c r="N143" i="10"/>
  <c r="M144" i="10"/>
  <c r="N144" i="10"/>
  <c r="M145" i="10"/>
  <c r="N145" i="10"/>
  <c r="M146" i="10"/>
  <c r="N146" i="10"/>
  <c r="M147" i="10"/>
  <c r="N147" i="10"/>
  <c r="M148" i="10"/>
  <c r="N148" i="10"/>
  <c r="M149" i="10"/>
  <c r="N149" i="10"/>
  <c r="M150" i="10"/>
  <c r="N150" i="10"/>
  <c r="M151" i="10"/>
  <c r="N151" i="10"/>
  <c r="M157" i="10"/>
  <c r="N157" i="10"/>
  <c r="M158" i="10"/>
  <c r="N158" i="10"/>
  <c r="M159" i="10"/>
  <c r="N159" i="10"/>
  <c r="M160" i="10"/>
  <c r="N160" i="10"/>
  <c r="M161" i="10"/>
  <c r="N161" i="10"/>
  <c r="M162" i="10"/>
  <c r="N162" i="10"/>
  <c r="M163" i="10"/>
  <c r="N163" i="10"/>
  <c r="M164" i="10"/>
  <c r="N164" i="10"/>
  <c r="M165" i="10"/>
  <c r="N165" i="10"/>
  <c r="M166" i="10"/>
  <c r="N166" i="10"/>
  <c r="M167" i="10"/>
  <c r="N167" i="10"/>
  <c r="M168" i="10"/>
  <c r="N168" i="10"/>
  <c r="M169" i="10"/>
  <c r="N169" i="10"/>
  <c r="N170" i="10"/>
  <c r="N171" i="10"/>
  <c r="N172" i="10"/>
  <c r="N173" i="10"/>
  <c r="N174" i="10"/>
  <c r="N175" i="10"/>
  <c r="N176" i="10"/>
  <c r="M177" i="10"/>
  <c r="N177" i="10"/>
  <c r="M178" i="10"/>
  <c r="N178" i="10"/>
  <c r="M185" i="10"/>
  <c r="N185" i="10"/>
  <c r="M186" i="10"/>
  <c r="N186" i="10"/>
  <c r="M187" i="10"/>
  <c r="N187" i="10"/>
  <c r="M188" i="10"/>
  <c r="N188" i="10"/>
  <c r="M189" i="10"/>
  <c r="N189" i="10"/>
  <c r="M190" i="10"/>
  <c r="N190" i="10"/>
  <c r="M194" i="10"/>
  <c r="N194" i="10"/>
  <c r="M195" i="10"/>
  <c r="N195" i="10"/>
  <c r="M196" i="10"/>
  <c r="N196" i="10"/>
  <c r="M197" i="10"/>
  <c r="N197" i="10"/>
  <c r="M198" i="10"/>
  <c r="N198" i="10"/>
  <c r="M201" i="10"/>
  <c r="N201" i="10"/>
  <c r="M202" i="10"/>
  <c r="N202" i="10"/>
  <c r="M203" i="10"/>
  <c r="N203" i="10"/>
  <c r="M204" i="10"/>
  <c r="N204" i="10"/>
  <c r="M205" i="10"/>
  <c r="N205" i="10"/>
  <c r="M206" i="10"/>
  <c r="N206" i="10"/>
  <c r="M207" i="10"/>
  <c r="N207" i="10"/>
  <c r="M208" i="10"/>
  <c r="N208" i="10"/>
  <c r="M209" i="10"/>
  <c r="N209" i="10"/>
  <c r="M210" i="10"/>
  <c r="N210" i="10"/>
  <c r="M211" i="10"/>
  <c r="N211" i="10"/>
  <c r="M212" i="10"/>
  <c r="N212" i="10"/>
  <c r="M213" i="10"/>
  <c r="N213" i="10"/>
  <c r="M214" i="10"/>
  <c r="N214" i="10"/>
  <c r="M215" i="10"/>
  <c r="N215" i="10"/>
  <c r="M216" i="10"/>
  <c r="N216" i="10"/>
  <c r="M217" i="10"/>
  <c r="N217" i="10"/>
  <c r="M218" i="10"/>
  <c r="N218" i="10"/>
  <c r="M219" i="10"/>
  <c r="N219" i="10"/>
  <c r="M220" i="10"/>
  <c r="N220" i="10"/>
  <c r="M221" i="10"/>
  <c r="N221" i="10"/>
  <c r="N222" i="10"/>
  <c r="N223" i="10"/>
  <c r="N224" i="10"/>
  <c r="N225" i="10"/>
  <c r="N226" i="10"/>
  <c r="N227" i="10"/>
  <c r="M232" i="10"/>
  <c r="N232" i="10"/>
  <c r="M233" i="10"/>
  <c r="N233" i="10"/>
  <c r="M234" i="10"/>
  <c r="N234" i="10"/>
  <c r="M235" i="10"/>
  <c r="N235" i="10"/>
  <c r="M236" i="10"/>
  <c r="N236" i="10"/>
  <c r="M237" i="10"/>
  <c r="N237" i="10"/>
  <c r="M238" i="10"/>
  <c r="N238" i="10"/>
  <c r="M239" i="10"/>
  <c r="N239" i="10"/>
  <c r="M240" i="10"/>
  <c r="N240" i="10"/>
  <c r="M241" i="10"/>
  <c r="N241" i="10"/>
  <c r="M242" i="10"/>
  <c r="N242" i="10"/>
  <c r="N243" i="10"/>
  <c r="N244" i="10"/>
  <c r="N245" i="10"/>
  <c r="N246" i="10"/>
  <c r="N247" i="10"/>
  <c r="N248" i="10"/>
  <c r="M257" i="10"/>
  <c r="N257" i="10"/>
  <c r="M258" i="10"/>
  <c r="N258" i="10"/>
  <c r="M259" i="10"/>
  <c r="N259" i="10"/>
  <c r="M260" i="10"/>
  <c r="N260" i="10"/>
  <c r="M261" i="10"/>
  <c r="N261" i="10"/>
  <c r="M264" i="10"/>
  <c r="N264" i="10"/>
  <c r="M265" i="10"/>
  <c r="N265" i="10"/>
  <c r="M266" i="10"/>
  <c r="N266" i="10"/>
  <c r="M267" i="10"/>
  <c r="N267" i="10"/>
  <c r="M268" i="10"/>
  <c r="N268" i="10"/>
  <c r="M269" i="10"/>
  <c r="N269" i="10"/>
  <c r="M270" i="10"/>
  <c r="N270" i="10"/>
  <c r="M271" i="10"/>
  <c r="N271" i="10"/>
  <c r="M272" i="10"/>
  <c r="N272" i="10"/>
  <c r="M273" i="10"/>
  <c r="N273" i="10"/>
  <c r="M275" i="10"/>
  <c r="N275" i="10"/>
  <c r="M276" i="10"/>
  <c r="N276" i="10"/>
  <c r="M277" i="10"/>
  <c r="N277" i="10"/>
  <c r="M278" i="10"/>
  <c r="N278" i="10"/>
  <c r="M279" i="10"/>
  <c r="N279" i="10"/>
  <c r="M280" i="10"/>
  <c r="N280" i="10"/>
  <c r="M281" i="10"/>
  <c r="N281" i="10"/>
  <c r="M282" i="10"/>
  <c r="N282" i="10"/>
  <c r="M283" i="10"/>
  <c r="N283" i="10"/>
  <c r="M284" i="10"/>
  <c r="N284" i="10"/>
  <c r="M285" i="10"/>
  <c r="N285" i="10"/>
  <c r="M286" i="10"/>
  <c r="N286" i="10"/>
  <c r="M287" i="10"/>
  <c r="N287" i="10"/>
  <c r="M288" i="10"/>
  <c r="N288" i="10"/>
  <c r="M289" i="10"/>
  <c r="N289" i="10"/>
  <c r="M290" i="10"/>
  <c r="N290" i="10"/>
  <c r="J16" i="8" l="1"/>
  <c r="H22" i="10" s="1"/>
  <c r="G274" i="10"/>
  <c r="E274" i="10"/>
  <c r="D274" i="10"/>
  <c r="C274" i="10"/>
  <c r="B274" i="10"/>
  <c r="G262" i="10"/>
  <c r="E262" i="10"/>
  <c r="D262" i="10"/>
  <c r="C262" i="10"/>
  <c r="B262" i="10"/>
  <c r="G228" i="10"/>
  <c r="E228" i="10"/>
  <c r="D228" i="10"/>
  <c r="C228" i="10"/>
  <c r="B228" i="10"/>
  <c r="G199" i="10"/>
  <c r="E199" i="10"/>
  <c r="D199" i="10"/>
  <c r="C199" i="10"/>
  <c r="B199" i="10"/>
  <c r="B192" i="10"/>
  <c r="M192" i="10" s="1"/>
  <c r="C192" i="10"/>
  <c r="D192" i="10"/>
  <c r="E192" i="10"/>
  <c r="G192" i="10"/>
  <c r="H192" i="10"/>
  <c r="B193" i="10"/>
  <c r="C193" i="10"/>
  <c r="D193" i="10"/>
  <c r="E193" i="10"/>
  <c r="G193" i="10"/>
  <c r="H191" i="10"/>
  <c r="I191" i="10" s="1"/>
  <c r="G191" i="10"/>
  <c r="E191" i="10"/>
  <c r="D191" i="10"/>
  <c r="C191" i="10"/>
  <c r="B191" i="10"/>
  <c r="N191" i="10" s="1"/>
  <c r="G179" i="10"/>
  <c r="E179" i="10"/>
  <c r="D179" i="10"/>
  <c r="C179" i="10"/>
  <c r="B179" i="10"/>
  <c r="B180" i="10"/>
  <c r="C180" i="10"/>
  <c r="D180" i="10"/>
  <c r="E180" i="10"/>
  <c r="G180" i="10"/>
  <c r="B181" i="10"/>
  <c r="C181" i="10"/>
  <c r="D181" i="10"/>
  <c r="E181" i="10"/>
  <c r="G181" i="10"/>
  <c r="G152" i="10"/>
  <c r="E152" i="10"/>
  <c r="D152" i="10"/>
  <c r="C152" i="10"/>
  <c r="B152" i="10"/>
  <c r="G153" i="10"/>
  <c r="E153" i="10"/>
  <c r="D153" i="10"/>
  <c r="C153" i="10"/>
  <c r="B153" i="10"/>
  <c r="G154" i="10"/>
  <c r="E154" i="10"/>
  <c r="D154" i="10"/>
  <c r="C154" i="10"/>
  <c r="B154" i="10"/>
  <c r="G136" i="10"/>
  <c r="E136" i="10"/>
  <c r="D136" i="10"/>
  <c r="C136" i="10"/>
  <c r="B136" i="10"/>
  <c r="G132" i="10"/>
  <c r="E132" i="10"/>
  <c r="D132" i="10"/>
  <c r="C132" i="10"/>
  <c r="B132" i="10"/>
  <c r="G114" i="10"/>
  <c r="E114" i="10"/>
  <c r="D114" i="10"/>
  <c r="C114" i="10"/>
  <c r="B114" i="10"/>
  <c r="R110" i="1"/>
  <c r="Q110" i="1"/>
  <c r="P110" i="1"/>
  <c r="H228" i="10"/>
  <c r="I228" i="10" s="1"/>
  <c r="M32" i="6"/>
  <c r="K192" i="10" s="1"/>
  <c r="H181" i="10"/>
  <c r="I181" i="10" s="1"/>
  <c r="H152" i="10"/>
  <c r="I152" i="10" s="1"/>
  <c r="H153" i="10"/>
  <c r="I153" i="10" s="1"/>
  <c r="H154" i="10"/>
  <c r="I154" i="10" s="1"/>
  <c r="K115" i="10"/>
  <c r="K133" i="10"/>
  <c r="K137" i="10"/>
  <c r="M9" i="6"/>
  <c r="J12" i="8"/>
  <c r="H18" i="10" s="1"/>
  <c r="J18" i="8"/>
  <c r="H24" i="10" s="1"/>
  <c r="M24" i="10" s="1"/>
  <c r="H132" i="10" l="1"/>
  <c r="K132" i="10" s="1"/>
  <c r="H193" i="10"/>
  <c r="H196" i="10" s="1"/>
  <c r="H136" i="10"/>
  <c r="M136" i="10" s="1"/>
  <c r="H114" i="10"/>
  <c r="N180" i="10"/>
  <c r="N136" i="10"/>
  <c r="M153" i="10"/>
  <c r="N153" i="10"/>
  <c r="N179" i="10"/>
  <c r="N199" i="10"/>
  <c r="N262" i="10"/>
  <c r="M181" i="10"/>
  <c r="N181" i="10"/>
  <c r="M193" i="10"/>
  <c r="N193" i="10"/>
  <c r="M114" i="10"/>
  <c r="N114" i="10"/>
  <c r="N132" i="10"/>
  <c r="M154" i="10"/>
  <c r="N154" i="10"/>
  <c r="M152" i="10"/>
  <c r="N152" i="10"/>
  <c r="N192" i="10"/>
  <c r="M228" i="10"/>
  <c r="N228" i="10"/>
  <c r="N274" i="10"/>
  <c r="M191" i="10"/>
  <c r="K114" i="10" l="1"/>
  <c r="I114" i="10"/>
  <c r="K191" i="10"/>
  <c r="M132" i="10"/>
  <c r="M33" i="6" l="1"/>
  <c r="H28" i="1"/>
  <c r="A28" i="1"/>
  <c r="H199" i="10" l="1"/>
  <c r="K28" i="1"/>
  <c r="F28" i="1"/>
  <c r="L28" i="1"/>
  <c r="B251" i="10"/>
  <c r="C251" i="10"/>
  <c r="D251" i="10"/>
  <c r="E251" i="10"/>
  <c r="G251" i="10"/>
  <c r="B252" i="10"/>
  <c r="C252" i="10"/>
  <c r="D252" i="10"/>
  <c r="E252" i="10"/>
  <c r="G252" i="10"/>
  <c r="B253" i="10"/>
  <c r="C253" i="10"/>
  <c r="D253" i="10"/>
  <c r="E253" i="10"/>
  <c r="G253" i="10"/>
  <c r="B254" i="10"/>
  <c r="C254" i="10"/>
  <c r="D254" i="10"/>
  <c r="E254" i="10"/>
  <c r="G254" i="10"/>
  <c r="B255" i="10"/>
  <c r="C255" i="10"/>
  <c r="D255" i="10"/>
  <c r="E255" i="10"/>
  <c r="G255" i="10"/>
  <c r="B256" i="10"/>
  <c r="C256" i="10"/>
  <c r="D256" i="10"/>
  <c r="E256" i="10"/>
  <c r="G256" i="10"/>
  <c r="G250" i="10"/>
  <c r="E250" i="10"/>
  <c r="D250" i="10"/>
  <c r="C250" i="10"/>
  <c r="B250" i="10"/>
  <c r="B230" i="10"/>
  <c r="C230" i="10"/>
  <c r="D230" i="10"/>
  <c r="E230" i="10"/>
  <c r="G230" i="10"/>
  <c r="B231" i="10"/>
  <c r="C231" i="10"/>
  <c r="D231" i="10"/>
  <c r="E231" i="10"/>
  <c r="G231" i="10"/>
  <c r="G229" i="10"/>
  <c r="E229" i="10"/>
  <c r="D229" i="10"/>
  <c r="C229" i="10"/>
  <c r="B229" i="10"/>
  <c r="G200" i="10"/>
  <c r="E200" i="10"/>
  <c r="D200" i="10"/>
  <c r="C200" i="10"/>
  <c r="B200" i="10"/>
  <c r="B184" i="10"/>
  <c r="C184" i="10"/>
  <c r="D184" i="10"/>
  <c r="E184" i="10"/>
  <c r="G184" i="10"/>
  <c r="I16" i="10"/>
  <c r="M16" i="10" l="1"/>
  <c r="N16" i="10"/>
  <c r="N200" i="10"/>
  <c r="N250" i="10"/>
  <c r="N253" i="10"/>
  <c r="N229" i="10"/>
  <c r="N256" i="10"/>
  <c r="N252" i="10"/>
  <c r="M231" i="10"/>
  <c r="N255" i="10"/>
  <c r="N251" i="10"/>
  <c r="I199" i="10"/>
  <c r="M199" i="10"/>
  <c r="N184" i="10"/>
  <c r="N230" i="10"/>
  <c r="N254" i="10"/>
  <c r="M28" i="1"/>
  <c r="N28" i="1" s="1"/>
  <c r="M50" i="6"/>
  <c r="M49" i="6"/>
  <c r="K275" i="10" s="1"/>
  <c r="H256" i="10"/>
  <c r="M256" i="10" s="1"/>
  <c r="H255" i="10"/>
  <c r="M255" i="10" s="1"/>
  <c r="H254" i="10"/>
  <c r="M254" i="10" s="1"/>
  <c r="H253" i="10"/>
  <c r="M253" i="10" s="1"/>
  <c r="H252" i="10"/>
  <c r="M252" i="10" s="1"/>
  <c r="H251" i="10"/>
  <c r="M251" i="10" s="1"/>
  <c r="M40" i="6"/>
  <c r="H231" i="10"/>
  <c r="N231" i="10" s="1"/>
  <c r="H230" i="10"/>
  <c r="M230" i="10" s="1"/>
  <c r="M36" i="6"/>
  <c r="I192" i="10"/>
  <c r="H184" i="10"/>
  <c r="I184" i="10" s="1"/>
  <c r="H180" i="10"/>
  <c r="M24" i="6"/>
  <c r="K153" i="10"/>
  <c r="I136" i="10"/>
  <c r="K136" i="10" s="1"/>
  <c r="H37" i="8"/>
  <c r="H274" i="10" l="1"/>
  <c r="K274" i="10" s="1"/>
  <c r="H250" i="10"/>
  <c r="K251" i="10"/>
  <c r="H229" i="10"/>
  <c r="K229" i="10"/>
  <c r="K180" i="10"/>
  <c r="H179" i="10"/>
  <c r="I180" i="10"/>
  <c r="M180" i="10"/>
  <c r="K250" i="10"/>
  <c r="M184" i="10"/>
  <c r="M250" i="10" l="1"/>
  <c r="K249" i="10"/>
  <c r="K228" i="10"/>
  <c r="M229" i="10"/>
  <c r="I274" i="10"/>
  <c r="M274" i="10"/>
  <c r="I179" i="10"/>
  <c r="M179" i="10"/>
  <c r="B182" i="10" l="1"/>
  <c r="C182" i="10"/>
  <c r="D182" i="10"/>
  <c r="E182" i="10"/>
  <c r="G182" i="10"/>
  <c r="B183" i="10"/>
  <c r="C183" i="10"/>
  <c r="D183" i="10"/>
  <c r="E183" i="10"/>
  <c r="G183" i="10"/>
  <c r="B155" i="10"/>
  <c r="C155" i="10"/>
  <c r="D155" i="10"/>
  <c r="E155" i="10"/>
  <c r="G155" i="10"/>
  <c r="B156" i="10"/>
  <c r="C156" i="10"/>
  <c r="D156" i="10"/>
  <c r="E156" i="10"/>
  <c r="G156" i="10"/>
  <c r="B83" i="10"/>
  <c r="C83" i="10"/>
  <c r="D83" i="10"/>
  <c r="E83" i="10"/>
  <c r="G83" i="10"/>
  <c r="B84" i="10"/>
  <c r="C84" i="10"/>
  <c r="D84" i="10"/>
  <c r="E84" i="10"/>
  <c r="G84" i="10"/>
  <c r="B85" i="10"/>
  <c r="C85" i="10"/>
  <c r="D85" i="10"/>
  <c r="E85" i="10"/>
  <c r="G85" i="10"/>
  <c r="B86" i="10"/>
  <c r="C86" i="10"/>
  <c r="D86" i="10"/>
  <c r="E86" i="10"/>
  <c r="G86" i="10"/>
  <c r="B87" i="10"/>
  <c r="C87" i="10"/>
  <c r="D87" i="10"/>
  <c r="E87" i="10"/>
  <c r="G87" i="10"/>
  <c r="B88" i="10"/>
  <c r="C88" i="10"/>
  <c r="D88" i="10"/>
  <c r="E88" i="10"/>
  <c r="G88" i="10"/>
  <c r="I94" i="10"/>
  <c r="I96" i="10"/>
  <c r="I98" i="10"/>
  <c r="I100" i="10"/>
  <c r="I101" i="10"/>
  <c r="I99" i="10"/>
  <c r="I97" i="10"/>
  <c r="I95" i="10"/>
  <c r="I93" i="10"/>
  <c r="G82" i="10"/>
  <c r="E82" i="10"/>
  <c r="D82" i="10"/>
  <c r="C82" i="10"/>
  <c r="B82" i="10"/>
  <c r="N85" i="10" l="1"/>
  <c r="N155" i="10"/>
  <c r="N88" i="10"/>
  <c r="N84" i="10"/>
  <c r="N183" i="10"/>
  <c r="N87" i="10"/>
  <c r="N83" i="10"/>
  <c r="N182" i="10"/>
  <c r="N82" i="10"/>
  <c r="N86" i="10"/>
  <c r="N156" i="10"/>
  <c r="H155" i="10"/>
  <c r="H182" i="10"/>
  <c r="M182" i="10" s="1"/>
  <c r="H183" i="10"/>
  <c r="I183" i="10" s="1"/>
  <c r="H84" i="10"/>
  <c r="I84" i="10" s="1"/>
  <c r="H85" i="10"/>
  <c r="I85" i="10" s="1"/>
  <c r="H86" i="10"/>
  <c r="I86" i="10" s="1"/>
  <c r="H87" i="10"/>
  <c r="I87" i="10" s="1"/>
  <c r="H88" i="10"/>
  <c r="M88" i="10" s="1"/>
  <c r="M86" i="10" l="1"/>
  <c r="H83" i="10"/>
  <c r="M83" i="10" s="1"/>
  <c r="K83" i="10"/>
  <c r="M87" i="10"/>
  <c r="M84" i="10"/>
  <c r="M155" i="10"/>
  <c r="M183" i="10"/>
  <c r="M85" i="10"/>
  <c r="I182" i="10"/>
  <c r="K179" i="10"/>
  <c r="H156" i="10"/>
  <c r="I88" i="10"/>
  <c r="E26" i="1"/>
  <c r="E29" i="1"/>
  <c r="E79" i="1"/>
  <c r="E78" i="1"/>
  <c r="E77" i="1"/>
  <c r="E63" i="1"/>
  <c r="E62" i="1"/>
  <c r="E61" i="1"/>
  <c r="E60" i="1"/>
  <c r="E44" i="1"/>
  <c r="E45" i="1"/>
  <c r="E46" i="1"/>
  <c r="E47" i="1"/>
  <c r="E48" i="1"/>
  <c r="E49" i="1"/>
  <c r="E50" i="1"/>
  <c r="E51" i="1"/>
  <c r="E52" i="1"/>
  <c r="K152" i="10" l="1"/>
  <c r="M156" i="10"/>
  <c r="H168" i="10"/>
  <c r="D57" i="1"/>
  <c r="D65" i="1"/>
  <c r="D20" i="1"/>
  <c r="L60" i="1" l="1"/>
  <c r="K60" i="1"/>
  <c r="H60" i="1"/>
  <c r="F60" i="1"/>
  <c r="L61" i="1"/>
  <c r="K61" i="1"/>
  <c r="H61" i="1"/>
  <c r="F61" i="1"/>
  <c r="L62" i="1"/>
  <c r="K62" i="1"/>
  <c r="H62" i="1"/>
  <c r="F62" i="1"/>
  <c r="L63" i="1"/>
  <c r="K63" i="1"/>
  <c r="H63" i="1"/>
  <c r="F63" i="1"/>
  <c r="E16" i="1"/>
  <c r="H16" i="1" s="1"/>
  <c r="E17" i="1"/>
  <c r="H17" i="1" s="1"/>
  <c r="E18" i="1"/>
  <c r="H18" i="1" s="1"/>
  <c r="M60" i="1" l="1"/>
  <c r="N60" i="1" s="1"/>
  <c r="M61" i="1"/>
  <c r="N61" i="1" s="1"/>
  <c r="M63" i="1"/>
  <c r="N63" i="1" s="1"/>
  <c r="M62" i="1"/>
  <c r="N62" i="1" s="1"/>
  <c r="K16" i="1"/>
  <c r="F16" i="1"/>
  <c r="L16" i="1"/>
  <c r="K17" i="1"/>
  <c r="F17" i="1"/>
  <c r="L17" i="1"/>
  <c r="K18" i="1"/>
  <c r="F18" i="1"/>
  <c r="L18" i="1"/>
  <c r="M16" i="1" l="1"/>
  <c r="N16" i="1" s="1"/>
  <c r="M17" i="1"/>
  <c r="N17" i="1" s="1"/>
  <c r="M18" i="1"/>
  <c r="N18" i="1" s="1"/>
  <c r="N87" i="1"/>
  <c r="I68" i="10"/>
  <c r="H59" i="1"/>
  <c r="K59" i="1" l="1"/>
  <c r="F59" i="1"/>
  <c r="L59" i="1"/>
  <c r="M59" i="1" l="1"/>
  <c r="N59" i="1" s="1"/>
  <c r="L83" i="1" l="1"/>
  <c r="L84" i="1"/>
  <c r="L85" i="1"/>
  <c r="L99" i="1"/>
  <c r="L100" i="1"/>
  <c r="L101" i="1"/>
  <c r="L102" i="1"/>
  <c r="I109" i="1"/>
  <c r="D109" i="1"/>
  <c r="L106" i="1"/>
  <c r="E107" i="1"/>
  <c r="L105" i="1"/>
  <c r="E80" i="1"/>
  <c r="F80" i="1" s="1"/>
  <c r="F79" i="1"/>
  <c r="F78" i="1"/>
  <c r="F73" i="1"/>
  <c r="F72" i="1"/>
  <c r="I65" i="1"/>
  <c r="F102" i="1"/>
  <c r="F101" i="1"/>
  <c r="F100" i="1"/>
  <c r="F99" i="1"/>
  <c r="F88" i="1"/>
  <c r="F85" i="1"/>
  <c r="F84" i="1"/>
  <c r="F83" i="1"/>
  <c r="F76" i="1"/>
  <c r="F14" i="1"/>
  <c r="F42" i="1"/>
  <c r="F26" i="1"/>
  <c r="F27" i="1"/>
  <c r="F29" i="1"/>
  <c r="F30" i="1"/>
  <c r="F31" i="1"/>
  <c r="F32" i="1"/>
  <c r="F33" i="1"/>
  <c r="E23" i="1"/>
  <c r="E24" i="1"/>
  <c r="F24" i="1" s="1"/>
  <c r="E25" i="1"/>
  <c r="F25" i="1" s="1"/>
  <c r="F23" i="1" l="1"/>
  <c r="H105" i="1"/>
  <c r="F77" i="1"/>
  <c r="E65" i="1"/>
  <c r="L107" i="1"/>
  <c r="H106" i="1"/>
  <c r="H107" i="1"/>
  <c r="F106" i="1"/>
  <c r="F107" i="1"/>
  <c r="F105" i="1"/>
  <c r="I150" i="10" l="1"/>
  <c r="L77" i="1"/>
  <c r="L78" i="1"/>
  <c r="I149" i="10" l="1"/>
  <c r="I89" i="10"/>
  <c r="I90" i="10"/>
  <c r="I83" i="10" l="1"/>
  <c r="I91" i="10"/>
  <c r="I155" i="10" l="1"/>
  <c r="I151" i="10"/>
  <c r="I156" i="10"/>
  <c r="A29" i="1" l="1"/>
  <c r="H101" i="1" l="1"/>
  <c r="H79" i="1"/>
  <c r="L32" i="1"/>
  <c r="H32" i="1"/>
  <c r="K32" i="1"/>
  <c r="K79" i="1" l="1"/>
  <c r="L79" i="1"/>
  <c r="M32" i="1"/>
  <c r="N32" i="1" s="1"/>
  <c r="M79" i="1" l="1"/>
  <c r="N79" i="1" s="1"/>
  <c r="I81" i="10" l="1"/>
  <c r="H77" i="1" l="1"/>
  <c r="K77" i="1" l="1"/>
  <c r="M77" i="1" s="1"/>
  <c r="N77" i="1" s="1"/>
  <c r="E108" i="1" l="1"/>
  <c r="E96" i="1"/>
  <c r="F96" i="1" s="1"/>
  <c r="E95" i="1"/>
  <c r="F95" i="1" s="1"/>
  <c r="E92" i="1"/>
  <c r="F92" i="1" s="1"/>
  <c r="E91" i="1"/>
  <c r="F91" i="1" s="1"/>
  <c r="E90" i="1"/>
  <c r="F90" i="1" s="1"/>
  <c r="E89" i="1"/>
  <c r="F89" i="1" s="1"/>
  <c r="E68" i="1"/>
  <c r="F68" i="1" s="1"/>
  <c r="E67" i="1"/>
  <c r="F67" i="1" s="1"/>
  <c r="E19" i="1"/>
  <c r="F19" i="1" s="1"/>
  <c r="F15" i="1"/>
  <c r="E56" i="1"/>
  <c r="F56" i="1" s="1"/>
  <c r="E55" i="1"/>
  <c r="F55" i="1" s="1"/>
  <c r="E54" i="1"/>
  <c r="F54" i="1" s="1"/>
  <c r="E53" i="1"/>
  <c r="F53" i="1" s="1"/>
  <c r="F52" i="1"/>
  <c r="F51" i="1"/>
  <c r="F50" i="1"/>
  <c r="F49" i="1"/>
  <c r="F48" i="1"/>
  <c r="F47" i="1"/>
  <c r="F46" i="1"/>
  <c r="F45" i="1"/>
  <c r="F44" i="1"/>
  <c r="E43" i="1"/>
  <c r="F43" i="1" s="1"/>
  <c r="E39" i="1"/>
  <c r="F39" i="1" s="1"/>
  <c r="E38" i="1"/>
  <c r="F38" i="1" s="1"/>
  <c r="E37" i="1"/>
  <c r="F37" i="1" s="1"/>
  <c r="E36" i="1"/>
  <c r="F36" i="1" s="1"/>
  <c r="F108" i="1" l="1"/>
  <c r="F109" i="1" s="1"/>
  <c r="H108" i="1"/>
  <c r="H109" i="1" s="1"/>
  <c r="L108" i="1"/>
  <c r="L109" i="1" s="1"/>
  <c r="E109" i="1"/>
  <c r="F71" i="1"/>
  <c r="H71" i="1"/>
  <c r="K71" i="1"/>
  <c r="L71" i="1"/>
  <c r="H107" i="10"/>
  <c r="M107" i="10" s="1"/>
  <c r="F64" i="1"/>
  <c r="F65" i="1" s="1"/>
  <c r="E97" i="1"/>
  <c r="E74" i="1"/>
  <c r="E93" i="1"/>
  <c r="E69" i="1"/>
  <c r="E57" i="1"/>
  <c r="H75" i="10" s="1"/>
  <c r="E86" i="1"/>
  <c r="E81" i="1"/>
  <c r="E34" i="1"/>
  <c r="H73" i="10" s="1"/>
  <c r="E40" i="1"/>
  <c r="E20" i="1"/>
  <c r="H84" i="1"/>
  <c r="H72" i="10" l="1"/>
  <c r="M72" i="10" s="1"/>
  <c r="I75" i="10"/>
  <c r="M75" i="10"/>
  <c r="I73" i="10"/>
  <c r="M73" i="10"/>
  <c r="I110" i="10"/>
  <c r="H118" i="10"/>
  <c r="M118" i="10" s="1"/>
  <c r="H100" i="1"/>
  <c r="I72" i="10" l="1"/>
  <c r="M26" i="8"/>
  <c r="P48" i="6" l="1"/>
  <c r="H263" i="10"/>
  <c r="P61" i="6"/>
  <c r="I102" i="10"/>
  <c r="K263" i="10" l="1"/>
  <c r="H262" i="10"/>
  <c r="I263" i="10"/>
  <c r="N263" i="10"/>
  <c r="N291" i="10" s="1"/>
  <c r="I286" i="10"/>
  <c r="I281" i="10"/>
  <c r="I273" i="10"/>
  <c r="I275" i="10"/>
  <c r="I257" i="10"/>
  <c r="I258" i="10"/>
  <c r="I231" i="10"/>
  <c r="I232" i="10"/>
  <c r="I233" i="10"/>
  <c r="I234" i="10"/>
  <c r="I235" i="10"/>
  <c r="I236" i="10"/>
  <c r="I237" i="10"/>
  <c r="I238" i="10"/>
  <c r="I239" i="10"/>
  <c r="I214" i="10"/>
  <c r="I215" i="10"/>
  <c r="I216" i="10"/>
  <c r="I217" i="10"/>
  <c r="I218" i="10"/>
  <c r="I202" i="10"/>
  <c r="I203" i="10"/>
  <c r="I198" i="10"/>
  <c r="I193" i="10"/>
  <c r="I194" i="10"/>
  <c r="I161" i="10"/>
  <c r="I162" i="10"/>
  <c r="I163" i="10"/>
  <c r="I164" i="10"/>
  <c r="I165" i="10"/>
  <c r="I166" i="10"/>
  <c r="I137" i="10"/>
  <c r="I138" i="10"/>
  <c r="I139" i="10"/>
  <c r="I140" i="10"/>
  <c r="I141" i="10"/>
  <c r="I142" i="10"/>
  <c r="I143" i="10"/>
  <c r="I144" i="10"/>
  <c r="I145" i="10"/>
  <c r="I132" i="10"/>
  <c r="I118" i="10"/>
  <c r="I107" i="10"/>
  <c r="I103" i="10"/>
  <c r="H265" i="10" l="1"/>
  <c r="M262" i="10"/>
  <c r="I262" i="10"/>
  <c r="K262" i="10"/>
  <c r="H85" i="1"/>
  <c r="G86" i="1"/>
  <c r="J86" i="1"/>
  <c r="L26" i="1" l="1"/>
  <c r="K26" i="1"/>
  <c r="H26" i="1"/>
  <c r="M26" i="1" l="1"/>
  <c r="I34" i="10" l="1"/>
  <c r="M29" i="8"/>
  <c r="I86" i="1" l="1"/>
  <c r="I309" i="10"/>
  <c r="R309" i="10"/>
  <c r="I285" i="10" l="1"/>
  <c r="M16" i="8"/>
  <c r="M23" i="10" l="1"/>
  <c r="N22" i="10"/>
  <c r="M22" i="10"/>
  <c r="N21" i="10"/>
  <c r="N20" i="10"/>
  <c r="M20" i="10"/>
  <c r="N19" i="10"/>
  <c r="N18" i="10"/>
  <c r="I32" i="10"/>
  <c r="I22" i="10"/>
  <c r="I31" i="10"/>
  <c r="I20" i="10"/>
  <c r="P22" i="6"/>
  <c r="P60" i="6"/>
  <c r="P10" i="6"/>
  <c r="P58" i="6"/>
  <c r="P59" i="6"/>
  <c r="I65" i="10" l="1"/>
  <c r="I38" i="10"/>
  <c r="I39" i="10"/>
  <c r="P45" i="6" l="1"/>
  <c r="P24" i="6"/>
  <c r="M21" i="10"/>
  <c r="I21" i="10" l="1"/>
  <c r="I60" i="10"/>
  <c r="P17" i="6"/>
  <c r="L90" i="1" l="1"/>
  <c r="L91" i="1"/>
  <c r="K90" i="1"/>
  <c r="K91" i="1"/>
  <c r="H90" i="1"/>
  <c r="H91" i="1"/>
  <c r="L89" i="1"/>
  <c r="K30" i="1"/>
  <c r="K31" i="1"/>
  <c r="H33" i="1"/>
  <c r="D93" i="1"/>
  <c r="H102" i="1"/>
  <c r="H99" i="1"/>
  <c r="H31" i="1" l="1"/>
  <c r="L31" i="1"/>
  <c r="D103" i="1"/>
  <c r="D86" i="1"/>
  <c r="H30" i="1"/>
  <c r="I103" i="1"/>
  <c r="H210" i="10" s="1"/>
  <c r="I210" i="10" s="1"/>
  <c r="L30" i="1"/>
  <c r="K33" i="1"/>
  <c r="L33" i="1"/>
  <c r="I74" i="1"/>
  <c r="I81" i="1"/>
  <c r="I34" i="1"/>
  <c r="H225" i="10"/>
  <c r="M225" i="10" s="1"/>
  <c r="H89" i="1"/>
  <c r="K89" i="1"/>
  <c r="I225" i="10" l="1"/>
  <c r="H174" i="10"/>
  <c r="M174" i="10" s="1"/>
  <c r="I174" i="10" l="1"/>
  <c r="D34" i="1" l="1"/>
  <c r="H288" i="10" l="1"/>
  <c r="I288" i="10" s="1"/>
  <c r="I280" i="10"/>
  <c r="I279" i="10"/>
  <c r="P21" i="6"/>
  <c r="P11" i="6"/>
  <c r="H82" i="10"/>
  <c r="N23" i="10"/>
  <c r="K82" i="10" l="1"/>
  <c r="M82" i="10"/>
  <c r="I82" i="10"/>
  <c r="I27" i="10"/>
  <c r="I23" i="10"/>
  <c r="I28" i="10"/>
  <c r="I67" i="10"/>
  <c r="I24" i="10"/>
  <c r="I30" i="10"/>
  <c r="I26" i="10"/>
  <c r="I29" i="10"/>
  <c r="I25" i="10"/>
  <c r="P9" i="6"/>
  <c r="P13" i="6"/>
  <c r="P27" i="6"/>
  <c r="P16" i="6"/>
  <c r="P20" i="6"/>
  <c r="P37" i="6"/>
  <c r="P15" i="6"/>
  <c r="P43" i="6"/>
  <c r="P14" i="6"/>
  <c r="P23" i="6"/>
  <c r="P28" i="6"/>
  <c r="P57" i="6"/>
  <c r="I56" i="10"/>
  <c r="I59" i="10"/>
  <c r="I58" i="10" l="1"/>
  <c r="I57" i="10"/>
  <c r="I131" i="10"/>
  <c r="I63" i="10"/>
  <c r="I64" i="10"/>
  <c r="I52" i="10"/>
  <c r="I127" i="10"/>
  <c r="I66" i="10"/>
  <c r="I54" i="10"/>
  <c r="I53" i="10"/>
  <c r="I178" i="10"/>
  <c r="H9" i="10"/>
  <c r="N17" i="10" l="1"/>
  <c r="N41" i="10" s="1"/>
  <c r="N293" i="10" s="1"/>
  <c r="M19" i="10"/>
  <c r="I289" i="10"/>
  <c r="I287" i="10"/>
  <c r="I19" i="10" l="1"/>
  <c r="P12" i="6"/>
  <c r="I159" i="10"/>
  <c r="P29" i="6" l="1"/>
  <c r="I55" i="10"/>
  <c r="I33" i="10" l="1"/>
  <c r="P18" i="6"/>
  <c r="K78" i="1"/>
  <c r="H171" i="10"/>
  <c r="M171" i="10" s="1"/>
  <c r="H170" i="10"/>
  <c r="M170" i="10" s="1"/>
  <c r="I61" i="10" l="1"/>
  <c r="I170" i="10"/>
  <c r="I171" i="10"/>
  <c r="K88" i="1"/>
  <c r="K93" i="1" s="1"/>
  <c r="H247" i="10" s="1"/>
  <c r="M247" i="10" s="1"/>
  <c r="H243" i="10"/>
  <c r="M243" i="10" s="1"/>
  <c r="H222" i="10"/>
  <c r="M222" i="10" s="1"/>
  <c r="L103" i="1"/>
  <c r="H212" i="10" s="1"/>
  <c r="E103" i="1"/>
  <c r="H207" i="10" s="1"/>
  <c r="H22" i="1"/>
  <c r="L76" i="1"/>
  <c r="I243" i="10" l="1"/>
  <c r="I247" i="10"/>
  <c r="I222" i="10"/>
  <c r="I207" i="10"/>
  <c r="I45" i="10"/>
  <c r="L86" i="1"/>
  <c r="H227" i="10" s="1"/>
  <c r="M227" i="10" s="1"/>
  <c r="K92" i="6"/>
  <c r="M18" i="8"/>
  <c r="M24" i="8"/>
  <c r="M28" i="8"/>
  <c r="M31" i="8"/>
  <c r="M34" i="8"/>
  <c r="M35" i="8"/>
  <c r="M15" i="8"/>
  <c r="I227" i="10" l="1"/>
  <c r="P41" i="6"/>
  <c r="P38" i="6"/>
  <c r="P47" i="6"/>
  <c r="P54" i="6"/>
  <c r="P50" i="6"/>
  <c r="P25" i="6"/>
  <c r="P33" i="6"/>
  <c r="P40" i="6"/>
  <c r="P49" i="6"/>
  <c r="P53" i="6"/>
  <c r="P26" i="6"/>
  <c r="P56" i="6"/>
  <c r="P52" i="6"/>
  <c r="P19" i="6"/>
  <c r="P30" i="6"/>
  <c r="P36" i="6"/>
  <c r="P55" i="6"/>
  <c r="P51" i="6"/>
  <c r="I253" i="10" l="1"/>
  <c r="I250" i="10"/>
  <c r="I255" i="10"/>
  <c r="I158" i="10"/>
  <c r="I252" i="10"/>
  <c r="I177" i="10"/>
  <c r="I254" i="10"/>
  <c r="I92" i="10"/>
  <c r="I229" i="10"/>
  <c r="I251" i="10"/>
  <c r="I62" i="10"/>
  <c r="I256" i="10"/>
  <c r="I230" i="10"/>
  <c r="H283" i="10" l="1"/>
  <c r="I283" i="10" s="1"/>
  <c r="I74" i="10"/>
  <c r="I282" i="10" l="1"/>
  <c r="H134" i="10" l="1"/>
  <c r="I134" i="10" s="1"/>
  <c r="H129" i="10"/>
  <c r="I129" i="10" s="1"/>
  <c r="K29" i="1" l="1"/>
  <c r="M27" i="8" l="1"/>
  <c r="M23" i="8"/>
  <c r="M30" i="8"/>
  <c r="M21" i="8"/>
  <c r="I135" i="10" l="1"/>
  <c r="I133" i="10"/>
  <c r="I130" i="10"/>
  <c r="I128" i="10"/>
  <c r="L29" i="1"/>
  <c r="H29" i="1"/>
  <c r="L27" i="1"/>
  <c r="K27" i="1"/>
  <c r="H27" i="1"/>
  <c r="M29" i="1" l="1"/>
  <c r="M27" i="1"/>
  <c r="N29" i="1" l="1"/>
  <c r="M19" i="8" l="1"/>
  <c r="M25" i="8"/>
  <c r="H147" i="10"/>
  <c r="I147" i="10" s="1"/>
  <c r="F86" i="1"/>
  <c r="I265" i="10" l="1"/>
  <c r="I264" i="10" s="1"/>
  <c r="F81" i="1"/>
  <c r="M20" i="8" l="1"/>
  <c r="M22" i="8"/>
  <c r="H78" i="1"/>
  <c r="K7" i="1"/>
  <c r="K8" i="1" s="1"/>
  <c r="K9" i="1" s="1"/>
  <c r="K10" i="1" s="1"/>
  <c r="I10" i="1"/>
  <c r="I9" i="1"/>
  <c r="I8" i="1"/>
  <c r="I6" i="1"/>
  <c r="K101" i="1" l="1"/>
  <c r="M101" i="1" s="1"/>
  <c r="N101" i="1" s="1"/>
  <c r="K107" i="1"/>
  <c r="M107" i="1" s="1"/>
  <c r="N107" i="1" s="1"/>
  <c r="K105" i="1"/>
  <c r="M105" i="1" s="1"/>
  <c r="N105" i="1" s="1"/>
  <c r="K106" i="1"/>
  <c r="M106" i="1" s="1"/>
  <c r="N106" i="1" s="1"/>
  <c r="K108" i="1"/>
  <c r="K100" i="1"/>
  <c r="M100" i="1" s="1"/>
  <c r="N100" i="1" s="1"/>
  <c r="K85" i="1"/>
  <c r="M85" i="1" s="1"/>
  <c r="K84" i="1"/>
  <c r="M84" i="1" s="1"/>
  <c r="N84" i="1" s="1"/>
  <c r="K102" i="1"/>
  <c r="K83" i="1"/>
  <c r="K99" i="1"/>
  <c r="K109" i="1" l="1"/>
  <c r="M17" i="10"/>
  <c r="M18" i="10"/>
  <c r="K86" i="1"/>
  <c r="H226" i="10" s="1"/>
  <c r="M226" i="10" s="1"/>
  <c r="K103" i="1"/>
  <c r="H211" i="10" s="1"/>
  <c r="I211" i="10" s="1"/>
  <c r="M10" i="8"/>
  <c r="M14" i="8"/>
  <c r="M41" i="10" l="1"/>
  <c r="I17" i="10"/>
  <c r="P42" i="6"/>
  <c r="I18" i="10"/>
  <c r="H41" i="10"/>
  <c r="P46" i="6"/>
  <c r="P32" i="6"/>
  <c r="I160" i="10"/>
  <c r="I226" i="10"/>
  <c r="P44" i="6"/>
  <c r="P31" i="6"/>
  <c r="I266" i="10"/>
  <c r="I148" i="10"/>
  <c r="I146" i="10"/>
  <c r="L64" i="1"/>
  <c r="L65" i="1" s="1"/>
  <c r="H24" i="1"/>
  <c r="K23" i="1"/>
  <c r="L72" i="1"/>
  <c r="L22" i="1"/>
  <c r="H88" i="1"/>
  <c r="H93" i="1" s="1"/>
  <c r="H245" i="10" s="1"/>
  <c r="M245" i="10" s="1"/>
  <c r="K80" i="1"/>
  <c r="L73" i="1"/>
  <c r="K64" i="1"/>
  <c r="K65" i="1" s="1"/>
  <c r="H110" i="10"/>
  <c r="M110" i="10" s="1"/>
  <c r="H270" i="10"/>
  <c r="M89" i="1"/>
  <c r="M90" i="1"/>
  <c r="M91" i="1"/>
  <c r="H76" i="1"/>
  <c r="H73" i="1"/>
  <c r="F74" i="1"/>
  <c r="H172" i="10" s="1"/>
  <c r="M172" i="10" s="1"/>
  <c r="K14" i="1"/>
  <c r="L15" i="1"/>
  <c r="H19" i="1"/>
  <c r="K42" i="1"/>
  <c r="K44" i="1"/>
  <c r="H46" i="1"/>
  <c r="L47" i="1"/>
  <c r="H48" i="1"/>
  <c r="L49" i="1"/>
  <c r="H50" i="1"/>
  <c r="H52" i="1"/>
  <c r="L53" i="1"/>
  <c r="K54" i="1"/>
  <c r="L55" i="1"/>
  <c r="L56" i="1"/>
  <c r="L36" i="1"/>
  <c r="H37" i="1"/>
  <c r="H39" i="1"/>
  <c r="K22" i="1"/>
  <c r="H72" i="1"/>
  <c r="H25" i="1"/>
  <c r="K25" i="1"/>
  <c r="L25" i="1"/>
  <c r="M30" i="1"/>
  <c r="M31" i="1"/>
  <c r="M33" i="1"/>
  <c r="D81" i="1"/>
  <c r="D74" i="1"/>
  <c r="P64" i="6"/>
  <c r="P66" i="6"/>
  <c r="P67" i="6"/>
  <c r="P68" i="6"/>
  <c r="P69" i="6"/>
  <c r="P70" i="6"/>
  <c r="P72" i="6"/>
  <c r="P73" i="6"/>
  <c r="P74" i="6"/>
  <c r="P75" i="6"/>
  <c r="P76" i="6"/>
  <c r="P80" i="6"/>
  <c r="P81" i="6"/>
  <c r="P82" i="6"/>
  <c r="P83" i="6"/>
  <c r="P84" i="6"/>
  <c r="P85" i="6"/>
  <c r="P86" i="6"/>
  <c r="P89" i="6"/>
  <c r="B1" i="6"/>
  <c r="B1" i="1"/>
  <c r="B1" i="8"/>
  <c r="P62" i="6"/>
  <c r="P63" i="6"/>
  <c r="P71" i="6"/>
  <c r="P87" i="6"/>
  <c r="A25" i="1"/>
  <c r="A27" i="1"/>
  <c r="A26" i="1"/>
  <c r="A30" i="1"/>
  <c r="A31" i="1"/>
  <c r="A51" i="1"/>
  <c r="A52" i="1" s="1"/>
  <c r="G92" i="6"/>
  <c r="I92" i="6"/>
  <c r="F6" i="1"/>
  <c r="F7" i="1" s="1"/>
  <c r="F8" i="1" s="1"/>
  <c r="F9" i="1" s="1"/>
  <c r="F10" i="1" s="1"/>
  <c r="A37" i="1"/>
  <c r="A19" i="1"/>
  <c r="A58" i="1"/>
  <c r="A54" i="1"/>
  <c r="A44" i="1"/>
  <c r="A40" i="1"/>
  <c r="I270" i="10" l="1"/>
  <c r="I41" i="10"/>
  <c r="I40" i="10" s="1"/>
  <c r="H268" i="10"/>
  <c r="H108" i="10"/>
  <c r="M108" i="10" s="1"/>
  <c r="H111" i="10"/>
  <c r="M111" i="10" s="1"/>
  <c r="H112" i="10"/>
  <c r="M112" i="10" s="1"/>
  <c r="I213" i="10"/>
  <c r="I157" i="10"/>
  <c r="I172" i="10"/>
  <c r="I245" i="10"/>
  <c r="H74" i="1"/>
  <c r="L74" i="1"/>
  <c r="D110" i="1"/>
  <c r="A23" i="1"/>
  <c r="A24" i="1"/>
  <c r="L23" i="1"/>
  <c r="L54" i="1"/>
  <c r="L39" i="1"/>
  <c r="K50" i="1"/>
  <c r="F69" i="1"/>
  <c r="L50" i="1"/>
  <c r="L37" i="1"/>
  <c r="L52" i="1"/>
  <c r="L48" i="1"/>
  <c r="H14" i="1"/>
  <c r="K52" i="1"/>
  <c r="K48" i="1"/>
  <c r="H64" i="1"/>
  <c r="H65" i="1" s="1"/>
  <c r="K24" i="1"/>
  <c r="L24" i="1"/>
  <c r="K72" i="1"/>
  <c r="M72" i="1" s="1"/>
  <c r="N72" i="1" s="1"/>
  <c r="F22" i="1"/>
  <c r="F97" i="1"/>
  <c r="K46" i="1"/>
  <c r="H42" i="1"/>
  <c r="K19" i="1"/>
  <c r="K39" i="1"/>
  <c r="K37" i="1"/>
  <c r="L46" i="1"/>
  <c r="L44" i="1"/>
  <c r="L19" i="1"/>
  <c r="L14" i="1"/>
  <c r="L42" i="1"/>
  <c r="H223" i="10"/>
  <c r="M223" i="10" s="1"/>
  <c r="L80" i="1"/>
  <c r="L81" i="1" s="1"/>
  <c r="H80" i="1"/>
  <c r="H81" i="1" s="1"/>
  <c r="K73" i="1"/>
  <c r="M73" i="1" s="1"/>
  <c r="K76" i="1"/>
  <c r="K81" i="1" s="1"/>
  <c r="F93" i="1"/>
  <c r="H44" i="1"/>
  <c r="I69" i="1"/>
  <c r="H121" i="10" s="1"/>
  <c r="M121" i="10" s="1"/>
  <c r="F40" i="1"/>
  <c r="I40" i="1"/>
  <c r="I20" i="1"/>
  <c r="I97" i="1"/>
  <c r="F103" i="1"/>
  <c r="H208" i="10" s="1"/>
  <c r="I208" i="10" s="1"/>
  <c r="F57" i="1"/>
  <c r="F20" i="1"/>
  <c r="M102" i="1"/>
  <c r="H54" i="1"/>
  <c r="H23" i="1"/>
  <c r="P78" i="6"/>
  <c r="P77" i="6"/>
  <c r="M12" i="8"/>
  <c r="P79" i="6"/>
  <c r="P90" i="6"/>
  <c r="H271" i="10"/>
  <c r="H272" i="10"/>
  <c r="L88" i="1"/>
  <c r="L93" i="1" s="1"/>
  <c r="H248" i="10" s="1"/>
  <c r="M248" i="10" s="1"/>
  <c r="I57" i="1"/>
  <c r="H78" i="10" s="1"/>
  <c r="M78" i="10" s="1"/>
  <c r="P88" i="6"/>
  <c r="K69" i="1"/>
  <c r="H122" i="10" s="1"/>
  <c r="M122" i="10" s="1"/>
  <c r="K38" i="1"/>
  <c r="H38" i="1"/>
  <c r="K51" i="1"/>
  <c r="H51" i="1"/>
  <c r="L51" i="1"/>
  <c r="H45" i="1"/>
  <c r="K45" i="1"/>
  <c r="H56" i="1"/>
  <c r="K56" i="1"/>
  <c r="H49" i="1"/>
  <c r="K49" i="1"/>
  <c r="M78" i="1"/>
  <c r="H53" i="1"/>
  <c r="K53" i="1"/>
  <c r="K43" i="1"/>
  <c r="H43" i="1"/>
  <c r="L43" i="1"/>
  <c r="K97" i="1"/>
  <c r="J37" i="8"/>
  <c r="M37" i="8" s="1"/>
  <c r="M36" i="8" s="1"/>
  <c r="L38" i="1"/>
  <c r="L45" i="1"/>
  <c r="H36" i="1"/>
  <c r="K36" i="1"/>
  <c r="K55" i="1"/>
  <c r="H55" i="1"/>
  <c r="K47" i="1"/>
  <c r="H47" i="1"/>
  <c r="H15" i="1"/>
  <c r="K15" i="1"/>
  <c r="A20" i="1"/>
  <c r="M25" i="1"/>
  <c r="I93" i="1"/>
  <c r="H246" i="10" s="1"/>
  <c r="I246" i="10" l="1"/>
  <c r="M246" i="10"/>
  <c r="I223" i="10"/>
  <c r="N25" i="1"/>
  <c r="I271" i="10"/>
  <c r="I272" i="10"/>
  <c r="I268" i="10"/>
  <c r="I122" i="10"/>
  <c r="H173" i="10"/>
  <c r="M173" i="10" s="1"/>
  <c r="I121" i="10"/>
  <c r="H119" i="10"/>
  <c r="I112" i="10"/>
  <c r="I111" i="10"/>
  <c r="H267" i="10"/>
  <c r="H109" i="10"/>
  <c r="I108" i="10"/>
  <c r="H244" i="10"/>
  <c r="M244" i="10" s="1"/>
  <c r="I46" i="10"/>
  <c r="I248" i="10"/>
  <c r="I49" i="10"/>
  <c r="H176" i="10"/>
  <c r="M176" i="10" s="1"/>
  <c r="K74" i="1"/>
  <c r="H175" i="10" s="1"/>
  <c r="M175" i="10" s="1"/>
  <c r="L34" i="1"/>
  <c r="F34" i="1"/>
  <c r="H76" i="10" s="1"/>
  <c r="M76" i="10" s="1"/>
  <c r="H34" i="1"/>
  <c r="K34" i="1"/>
  <c r="M88" i="1"/>
  <c r="M93" i="1" s="1"/>
  <c r="M76" i="1"/>
  <c r="M99" i="1"/>
  <c r="M103" i="1" s="1"/>
  <c r="H103" i="1"/>
  <c r="H209" i="10" s="1"/>
  <c r="I110" i="1"/>
  <c r="M80" i="1"/>
  <c r="N80" i="1" s="1"/>
  <c r="M71" i="1"/>
  <c r="M74" i="1" s="1"/>
  <c r="M23" i="1"/>
  <c r="M64" i="1"/>
  <c r="M19" i="1"/>
  <c r="N19" i="1" s="1"/>
  <c r="L40" i="1"/>
  <c r="N68" i="1"/>
  <c r="N95" i="1"/>
  <c r="M50" i="1"/>
  <c r="N50" i="1" s="1"/>
  <c r="N31" i="1"/>
  <c r="N73" i="1"/>
  <c r="M48" i="1"/>
  <c r="N48" i="1" s="1"/>
  <c r="M37" i="1"/>
  <c r="N37" i="1" s="1"/>
  <c r="L97" i="1"/>
  <c r="M54" i="1"/>
  <c r="N54" i="1" s="1"/>
  <c r="M44" i="1"/>
  <c r="N44" i="1" s="1"/>
  <c r="M46" i="1"/>
  <c r="N46" i="1" s="1"/>
  <c r="M39" i="1"/>
  <c r="N39" i="1" s="1"/>
  <c r="M22" i="1"/>
  <c r="M52" i="1"/>
  <c r="N52" i="1" s="1"/>
  <c r="M42" i="1"/>
  <c r="N42" i="1" s="1"/>
  <c r="L69" i="1"/>
  <c r="H123" i="10" s="1"/>
  <c r="M123" i="10" s="1"/>
  <c r="L20" i="1"/>
  <c r="M24" i="1"/>
  <c r="M14" i="1"/>
  <c r="N14" i="1" s="1"/>
  <c r="M47" i="1"/>
  <c r="N47" i="1" s="1"/>
  <c r="K20" i="1"/>
  <c r="K40" i="1"/>
  <c r="N91" i="1"/>
  <c r="M53" i="1"/>
  <c r="N53" i="1" s="1"/>
  <c r="K57" i="1"/>
  <c r="N85" i="1"/>
  <c r="N102" i="1"/>
  <c r="N96" i="1"/>
  <c r="M15" i="1"/>
  <c r="N15" i="1" s="1"/>
  <c r="N78" i="1"/>
  <c r="N92" i="1"/>
  <c r="M49" i="1"/>
  <c r="N49" i="1" s="1"/>
  <c r="N30" i="1"/>
  <c r="N90" i="1"/>
  <c r="M36" i="1"/>
  <c r="H40" i="1"/>
  <c r="H269" i="10"/>
  <c r="M108" i="1"/>
  <c r="M109" i="1" s="1"/>
  <c r="M55" i="1"/>
  <c r="N55" i="1" s="1"/>
  <c r="N33" i="1"/>
  <c r="L57" i="1"/>
  <c r="H97" i="1"/>
  <c r="N89" i="1"/>
  <c r="M56" i="1"/>
  <c r="M51" i="1"/>
  <c r="N51" i="1" s="1"/>
  <c r="M38" i="1"/>
  <c r="N38" i="1" s="1"/>
  <c r="H83" i="1"/>
  <c r="H86" i="1" s="1"/>
  <c r="E110" i="1"/>
  <c r="H69" i="1"/>
  <c r="H120" i="10" s="1"/>
  <c r="M120" i="10" s="1"/>
  <c r="M45" i="1"/>
  <c r="N45" i="1" s="1"/>
  <c r="N26" i="1"/>
  <c r="M43" i="1"/>
  <c r="N43" i="1" s="1"/>
  <c r="H57" i="1"/>
  <c r="H20" i="1"/>
  <c r="K200" i="10" l="1"/>
  <c r="K107" i="10"/>
  <c r="K117" i="10" s="1"/>
  <c r="M109" i="10"/>
  <c r="K118" i="10"/>
  <c r="M119" i="10"/>
  <c r="I244" i="10"/>
  <c r="H260" i="10"/>
  <c r="K170" i="10"/>
  <c r="K188" i="10" s="1"/>
  <c r="H189" i="10"/>
  <c r="I189" i="10" s="1"/>
  <c r="I209" i="10"/>
  <c r="I212" i="10"/>
  <c r="I196" i="10"/>
  <c r="P35" i="6"/>
  <c r="M34" i="1"/>
  <c r="H79" i="10"/>
  <c r="M79" i="10" s="1"/>
  <c r="H77" i="10"/>
  <c r="H80" i="10"/>
  <c r="M80" i="10" s="1"/>
  <c r="N64" i="1"/>
  <c r="M65" i="1"/>
  <c r="K108" i="10" s="1"/>
  <c r="N23" i="1"/>
  <c r="N24" i="1"/>
  <c r="I269" i="10"/>
  <c r="I267" i="10"/>
  <c r="I123" i="10"/>
  <c r="I173" i="10"/>
  <c r="I120" i="10"/>
  <c r="I109" i="10"/>
  <c r="I119" i="10"/>
  <c r="H125" i="10"/>
  <c r="H116" i="10"/>
  <c r="I175" i="10"/>
  <c r="I176" i="10"/>
  <c r="F110" i="1"/>
  <c r="L110" i="1"/>
  <c r="L111" i="1" s="1"/>
  <c r="M83" i="1"/>
  <c r="H224" i="10"/>
  <c r="M81" i="1"/>
  <c r="N22" i="1"/>
  <c r="N76" i="1"/>
  <c r="N71" i="1"/>
  <c r="I78" i="10"/>
  <c r="I76" i="10"/>
  <c r="M20" i="1"/>
  <c r="M97" i="1"/>
  <c r="N97" i="1" s="1"/>
  <c r="N98" i="1" s="1"/>
  <c r="N99" i="1"/>
  <c r="N88" i="1"/>
  <c r="M69" i="1"/>
  <c r="K119" i="10" s="1"/>
  <c r="N67" i="1"/>
  <c r="N36" i="1"/>
  <c r="M40" i="1"/>
  <c r="N40" i="1" s="1"/>
  <c r="N41" i="1" s="1"/>
  <c r="N108" i="1"/>
  <c r="M57" i="1"/>
  <c r="H200" i="10" l="1"/>
  <c r="M200" i="10" s="1"/>
  <c r="P34" i="6"/>
  <c r="H241" i="10"/>
  <c r="M224" i="10"/>
  <c r="K73" i="10"/>
  <c r="N81" i="1"/>
  <c r="K171" i="10"/>
  <c r="I77" i="10"/>
  <c r="M77" i="10"/>
  <c r="I188" i="10"/>
  <c r="I190" i="10"/>
  <c r="K72" i="10"/>
  <c r="K86" i="10" s="1"/>
  <c r="I195" i="10"/>
  <c r="I197" i="10"/>
  <c r="H105" i="10"/>
  <c r="I105" i="10" s="1"/>
  <c r="I116" i="10"/>
  <c r="I125" i="10"/>
  <c r="I79" i="10"/>
  <c r="I51" i="10"/>
  <c r="I224" i="10"/>
  <c r="I47" i="10"/>
  <c r="I48" i="10"/>
  <c r="I50" i="10"/>
  <c r="M86" i="1"/>
  <c r="M110" i="1" s="1"/>
  <c r="N57" i="1"/>
  <c r="N58" i="1" s="1"/>
  <c r="N65" i="1"/>
  <c r="N66" i="1" s="1"/>
  <c r="N20" i="1"/>
  <c r="N109" i="1"/>
  <c r="N103" i="1"/>
  <c r="N104" i="1" s="1"/>
  <c r="N93" i="1"/>
  <c r="N94" i="1" s="1"/>
  <c r="N74" i="1"/>
  <c r="N75" i="1" s="1"/>
  <c r="N82" i="1" s="1"/>
  <c r="N83" i="1"/>
  <c r="N69" i="1"/>
  <c r="N70" i="1" s="1"/>
  <c r="K199" i="10" l="1"/>
  <c r="I200" i="10"/>
  <c r="H205" i="10"/>
  <c r="M291" i="10"/>
  <c r="M293" i="10" s="1"/>
  <c r="N21" i="1"/>
  <c r="I80" i="10"/>
  <c r="H220" i="10"/>
  <c r="H277" i="10"/>
  <c r="N86" i="1"/>
  <c r="I277" i="10" l="1"/>
  <c r="I220" i="10"/>
  <c r="I260" i="10"/>
  <c r="I261" i="10" s="1"/>
  <c r="I284" i="10"/>
  <c r="I241" i="10" l="1"/>
  <c r="K110" i="1"/>
  <c r="H110" i="1"/>
  <c r="N27" i="1" l="1"/>
  <c r="K111" i="1"/>
  <c r="H111" i="1" l="1"/>
  <c r="I111" i="1"/>
  <c r="F111" i="1"/>
  <c r="M111" i="1"/>
  <c r="I201" i="10" l="1"/>
  <c r="I259" i="10"/>
  <c r="I278" i="10"/>
  <c r="I276" i="10"/>
  <c r="I221" i="10"/>
  <c r="I219" i="10"/>
  <c r="I242" i="10"/>
  <c r="I240" i="10"/>
  <c r="N34" i="1"/>
  <c r="N35" i="1" s="1"/>
  <c r="M92" i="6" l="1"/>
  <c r="P91" i="6" s="1"/>
  <c r="N110" i="1"/>
  <c r="I205" i="10" l="1"/>
  <c r="I168" i="10"/>
  <c r="I117" i="10" l="1"/>
  <c r="I115" i="10"/>
  <c r="I206" i="10" l="1"/>
  <c r="I204" i="10"/>
  <c r="I169" i="10"/>
  <c r="I167" i="10"/>
  <c r="I126" i="10"/>
  <c r="I124" i="10"/>
  <c r="H70" i="10"/>
  <c r="H291" i="10" s="1"/>
  <c r="I70" i="10" l="1"/>
  <c r="I69" i="10" s="1"/>
  <c r="K291" i="10"/>
  <c r="I71" i="10" l="1"/>
  <c r="H293" i="10"/>
  <c r="D293" i="10" s="1"/>
  <c r="H297" i="10" l="1"/>
  <c r="I106" i="10"/>
  <c r="I104" i="10"/>
</calcChain>
</file>

<file path=xl/sharedStrings.xml><?xml version="1.0" encoding="utf-8"?>
<sst xmlns="http://schemas.openxmlformats.org/spreadsheetml/2006/main" count="721" uniqueCount="218">
  <si>
    <t xml:space="preserve">Classroom Teachers                                </t>
  </si>
  <si>
    <t xml:space="preserve">Classroom Aides                                   </t>
  </si>
  <si>
    <t xml:space="preserve">10040005200120                               </t>
  </si>
  <si>
    <t xml:space="preserve">ESE Teacher                                       </t>
  </si>
  <si>
    <t xml:space="preserve">Guidance                                          </t>
  </si>
  <si>
    <t xml:space="preserve">10040007300110                               </t>
  </si>
  <si>
    <t xml:space="preserve">Administrator                                     </t>
  </si>
  <si>
    <t xml:space="preserve">10040007300160                               </t>
  </si>
  <si>
    <t xml:space="preserve">Administrative Assistants                         </t>
  </si>
  <si>
    <t xml:space="preserve">10040007900160                               </t>
  </si>
  <si>
    <t xml:space="preserve">Custodians                                        </t>
  </si>
  <si>
    <t xml:space="preserve">41040007600160                               </t>
  </si>
  <si>
    <t xml:space="preserve">Food Service Clerk                                </t>
  </si>
  <si>
    <t>Security Guard</t>
  </si>
  <si>
    <t>100-4000-7300-160</t>
  </si>
  <si>
    <t>891-4000-9100-150</t>
  </si>
  <si>
    <t>100-4000-5200-120</t>
  </si>
  <si>
    <t>100-4000-7900-160</t>
  </si>
  <si>
    <t>100-4000-7300-110</t>
  </si>
  <si>
    <t>410-4000-7600-160</t>
  </si>
  <si>
    <t>100-4000-7900-165</t>
  </si>
  <si>
    <t>Workers Comp</t>
  </si>
  <si>
    <t>Retirement</t>
  </si>
  <si>
    <t>Instruction</t>
  </si>
  <si>
    <t>Social Security</t>
  </si>
  <si>
    <t>Administrative</t>
  </si>
  <si>
    <t>#</t>
  </si>
  <si>
    <t>Account Code</t>
  </si>
  <si>
    <t>Name</t>
  </si>
  <si>
    <t>Unemply Comp</t>
  </si>
  <si>
    <t>Revenues</t>
  </si>
  <si>
    <t>Total Revenues</t>
  </si>
  <si>
    <t>Expenditures</t>
  </si>
  <si>
    <t>Total Instruction</t>
  </si>
  <si>
    <t>Total Exceptional Instruction</t>
  </si>
  <si>
    <t>Total Pupil Personnel Services</t>
  </si>
  <si>
    <t>Total Instruction Media Sources</t>
  </si>
  <si>
    <t xml:space="preserve">Total Instruction and Curriculum Development </t>
  </si>
  <si>
    <t>Total Instructional Staff Training Services</t>
  </si>
  <si>
    <t>Total School Administration</t>
  </si>
  <si>
    <t>Total Fiscal Services</t>
  </si>
  <si>
    <t>Total Food Services</t>
  </si>
  <si>
    <t>Total Pupil Transportation Services</t>
  </si>
  <si>
    <t>Total Operation of Plant</t>
  </si>
  <si>
    <t>Total Maintenance of Plant</t>
  </si>
  <si>
    <t>Total Expenditures</t>
  </si>
  <si>
    <t>BY FUNCTION &amp; OBJECT</t>
  </si>
  <si>
    <t>Total Facilities Acquisition</t>
  </si>
  <si>
    <t>Assumptions</t>
  </si>
  <si>
    <t xml:space="preserve">Retirement                                        </t>
  </si>
  <si>
    <t xml:space="preserve">Social Security                                   </t>
  </si>
  <si>
    <t xml:space="preserve">Group Insurance                                   </t>
  </si>
  <si>
    <t xml:space="preserve">Workers Compensation                              </t>
  </si>
  <si>
    <t xml:space="preserve">Unemployment Compensation                         </t>
  </si>
  <si>
    <t xml:space="preserve">Media Specialist                                  </t>
  </si>
  <si>
    <t>Contracted Services</t>
  </si>
  <si>
    <t>District Admin Fees</t>
  </si>
  <si>
    <t xml:space="preserve"> </t>
  </si>
  <si>
    <t>n</t>
  </si>
  <si>
    <t>Custodial</t>
  </si>
  <si>
    <t>Security</t>
  </si>
  <si>
    <t>Food Service</t>
  </si>
  <si>
    <t>Aftercare</t>
  </si>
  <si>
    <t xml:space="preserve">Substitute Teachers                      </t>
  </si>
  <si>
    <t>After Care</t>
  </si>
  <si>
    <t>*</t>
  </si>
  <si>
    <t>Custodians</t>
  </si>
  <si>
    <t>Food Service Clerk</t>
  </si>
  <si>
    <t>Total Aftercare</t>
  </si>
  <si>
    <t>Aftercare Worker</t>
  </si>
  <si>
    <t>Total Debt Service</t>
  </si>
  <si>
    <t>2008-2009</t>
  </si>
  <si>
    <t xml:space="preserve">  </t>
  </si>
  <si>
    <t>2009-2010</t>
  </si>
  <si>
    <t>Projected</t>
  </si>
  <si>
    <t>100-4000-6200-130</t>
  </si>
  <si>
    <t>10040006200130</t>
  </si>
  <si>
    <t>Media</t>
  </si>
  <si>
    <t>Budget</t>
  </si>
  <si>
    <t>100-4000-7800-160</t>
  </si>
  <si>
    <t>10040007800160</t>
  </si>
  <si>
    <t>Bus Drivers</t>
  </si>
  <si>
    <t>Revenue Input</t>
  </si>
  <si>
    <t>Payroll Input</t>
  </si>
  <si>
    <t>Expense Input</t>
  </si>
  <si>
    <t>Beginning Fund Balance</t>
  </si>
  <si>
    <t>Ending Fund Balance</t>
  </si>
  <si>
    <t>PY</t>
  </si>
  <si>
    <t>PY + Enroll Change + Inf</t>
  </si>
  <si>
    <t>PY + Inf</t>
  </si>
  <si>
    <t>Total Instruction Related Technology</t>
  </si>
  <si>
    <t>Total Board Administration</t>
  </si>
  <si>
    <t>Salary</t>
  </si>
  <si>
    <t>ESE Teachers</t>
  </si>
  <si>
    <t>Interest Income</t>
  </si>
  <si>
    <t>Other Misc Revenue</t>
  </si>
  <si>
    <t>Field Trips</t>
  </si>
  <si>
    <t>Donations</t>
  </si>
  <si>
    <t>Copy and Printing</t>
  </si>
  <si>
    <t>Instructional Materials</t>
  </si>
  <si>
    <t>Computer Hardware</t>
  </si>
  <si>
    <t>Technology Support &amp; Service</t>
  </si>
  <si>
    <t>Legal and Audit Expense</t>
  </si>
  <si>
    <t>Dues and Fees</t>
  </si>
  <si>
    <t>Travel / Conferences / Workshops</t>
  </si>
  <si>
    <t>Postage</t>
  </si>
  <si>
    <t>Advertising</t>
  </si>
  <si>
    <t>Office Expense</t>
  </si>
  <si>
    <t>Facility Cost</t>
  </si>
  <si>
    <t>Contract Controller Service</t>
  </si>
  <si>
    <t>Payroll Service</t>
  </si>
  <si>
    <t>Insurance - Building</t>
  </si>
  <si>
    <t>Communications</t>
  </si>
  <si>
    <t>Water/ Sewer/ Garbage Collection</t>
  </si>
  <si>
    <t>Other Contracted Bldg. Services</t>
  </si>
  <si>
    <t>Electricity</t>
  </si>
  <si>
    <t>Custodial Supplies</t>
  </si>
  <si>
    <t>Repairs and Maintenance</t>
  </si>
  <si>
    <t>Retire</t>
  </si>
  <si>
    <t>SS</t>
  </si>
  <si>
    <t>Ins</t>
  </si>
  <si>
    <t>WC</t>
  </si>
  <si>
    <t>SUTA</t>
  </si>
  <si>
    <t>Total</t>
  </si>
  <si>
    <t xml:space="preserve">Administrative Salaries                         </t>
  </si>
  <si>
    <t>Enrollment</t>
  </si>
  <si>
    <t>Staff Development</t>
  </si>
  <si>
    <t>Group Insurance</t>
  </si>
  <si>
    <t>Workers Compensation</t>
  </si>
  <si>
    <t>Unemployment Compensation</t>
  </si>
  <si>
    <t>Facility Lease</t>
  </si>
  <si>
    <t>FEFP</t>
  </si>
  <si>
    <t>Capital Outlay</t>
  </si>
  <si>
    <t>EnrOld</t>
  </si>
  <si>
    <t>EnrNew</t>
  </si>
  <si>
    <t>Inf</t>
  </si>
  <si>
    <t>PRInf</t>
  </si>
  <si>
    <t>DistAdminFee</t>
  </si>
  <si>
    <t>FEFPResCO</t>
  </si>
  <si>
    <t>Total Transfers</t>
  </si>
  <si>
    <t>OPERATING BUDGET</t>
  </si>
  <si>
    <t>ESE Teacher</t>
  </si>
  <si>
    <t>Transportation - Contracted Services</t>
  </si>
  <si>
    <t>Insurance - General Liability</t>
  </si>
  <si>
    <t>Non Capital Furniture &amp; Equipment</t>
  </si>
  <si>
    <t>5% FEFP</t>
  </si>
  <si>
    <t>y</t>
  </si>
  <si>
    <t>Per Lease</t>
  </si>
  <si>
    <t>CHAUTAUQUA LEARN &amp; SERVE CHARTER SCHOOL</t>
  </si>
  <si>
    <t>Storage Rental</t>
  </si>
  <si>
    <t>Transportation - Repair</t>
  </si>
  <si>
    <t>Travel/Conference/Workshops</t>
  </si>
  <si>
    <t>Office Support</t>
  </si>
  <si>
    <t>Job Coach</t>
  </si>
  <si>
    <t>Classroom Aide</t>
  </si>
  <si>
    <t>Trolley Instructor</t>
  </si>
  <si>
    <t>FEFP - Bay Cty Sch Dist</t>
  </si>
  <si>
    <t>IDEA</t>
  </si>
  <si>
    <t>ANASTASIO, NANCY K</t>
  </si>
  <si>
    <t>MCCAULEY, CYNTHIA</t>
  </si>
  <si>
    <t>WOZNICK, MICHAEL S</t>
  </si>
  <si>
    <t>BOSTON, CARISSA</t>
  </si>
  <si>
    <t>FOWLER, MISTY D</t>
  </si>
  <si>
    <t>HAY, HEATHER N</t>
  </si>
  <si>
    <t>MILLER, JIMMY</t>
  </si>
  <si>
    <t>NUTT, MARY N</t>
  </si>
  <si>
    <t>WARREN, MONA D</t>
  </si>
  <si>
    <t>BEIDELMAN, RYAN L</t>
  </si>
  <si>
    <t>PARRISH, BETH A</t>
  </si>
  <si>
    <t>REMICK, DOUGLAS E</t>
  </si>
  <si>
    <t>ARTEAGA, ALEXANDER</t>
  </si>
  <si>
    <t>HARRINGTON, MARION L</t>
  </si>
  <si>
    <t>ZEBROSKI, MATTHEW</t>
  </si>
  <si>
    <t>Trolley Trainers</t>
  </si>
  <si>
    <t xml:space="preserve">ESE Aides                                   </t>
  </si>
  <si>
    <t>100-4000-5200-121</t>
  </si>
  <si>
    <t>100-4000-5200-750</t>
  </si>
  <si>
    <t>10040005200750</t>
  </si>
  <si>
    <t>ESE Aides</t>
  </si>
  <si>
    <t>NA</t>
  </si>
  <si>
    <t>GRABNER, LUCIE C</t>
  </si>
  <si>
    <t>ZEBROSKI, MARY P</t>
  </si>
  <si>
    <t>VR Summer Grant</t>
  </si>
  <si>
    <t>2017-2018</t>
  </si>
  <si>
    <t>Capital Furniture &amp; Equipment</t>
  </si>
  <si>
    <t>Per Contract</t>
  </si>
  <si>
    <t>WINDISCH, STEPHEN</t>
  </si>
  <si>
    <t>2018-2019</t>
  </si>
  <si>
    <t>District Local Capital Improvement Tax</t>
  </si>
  <si>
    <t>Non Cap Furniture and Equipment</t>
  </si>
  <si>
    <t>Transportation - Other Vehicles</t>
  </si>
  <si>
    <t>FY18 PP</t>
  </si>
  <si>
    <t>FISCAL YEAR 2018-19</t>
  </si>
  <si>
    <t>Federal Impact Funds</t>
  </si>
  <si>
    <t>Income</t>
  </si>
  <si>
    <t>Class Size Reduction</t>
  </si>
  <si>
    <t>Expense</t>
  </si>
  <si>
    <t>FEFP for Admin</t>
  </si>
  <si>
    <t>47 FTE 2018-19 Rev WS</t>
  </si>
  <si>
    <t xml:space="preserve">Per Rev Ws </t>
  </si>
  <si>
    <t>52-120</t>
  </si>
  <si>
    <t>52-121</t>
  </si>
  <si>
    <t>52-150</t>
  </si>
  <si>
    <t>61-150</t>
  </si>
  <si>
    <t>73-160</t>
  </si>
  <si>
    <t>Company Totals:</t>
  </si>
  <si>
    <t>10040005200121</t>
  </si>
  <si>
    <t>100-4000-5200-150</t>
  </si>
  <si>
    <t>10040005200150</t>
  </si>
  <si>
    <t>100-4000-6100-150</t>
  </si>
  <si>
    <t xml:space="preserve">10040006100150                             </t>
  </si>
  <si>
    <t>310</t>
  </si>
  <si>
    <t>Contracted Security Services</t>
  </si>
  <si>
    <t>**getting $2,926 safe schools</t>
  </si>
  <si>
    <t>PY + $18,000</t>
  </si>
  <si>
    <t>$482 / Student</t>
  </si>
  <si>
    <t>Estimated Amount</t>
  </si>
  <si>
    <t>VR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</si>
</sst>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000"/>
    <numFmt numFmtId="167" formatCode="000"/>
    <numFmt numFmtId="168" formatCode="_(* #,##0.00_);_(* \(#,##0.00\);_(* &quot;-&quot;_);_(@_)"/>
    <numFmt numFmtId="169" formatCode="_(* #,##0_);_(* \(#,##0\);_(* &quot;-&quot;??_);_(@_)"/>
  </numFmts>
  <fonts count="3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</font>
    <font>
      <sz val="9"/>
      <color rgb="FFFF0000"/>
      <name val="Arial"/>
      <family val="2"/>
    </font>
    <font>
      <b/>
      <sz val="11"/>
      <color indexed="17"/>
      <name val="Tahoma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40" fontId="13" fillId="0" borderId="0" applyFont="0" applyFill="0" applyProtection="0"/>
    <xf numFmtId="0" fontId="14" fillId="0" borderId="0"/>
    <xf numFmtId="0" fontId="14" fillId="0" borderId="0"/>
    <xf numFmtId="9" fontId="13" fillId="0" borderId="0" applyFont="0" applyFill="0" applyProtection="0"/>
    <xf numFmtId="43" fontId="2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25" fillId="0" borderId="0"/>
    <xf numFmtId="0" fontId="12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34" fillId="0" borderId="0"/>
  </cellStyleXfs>
  <cellXfs count="174">
    <xf numFmtId="0" fontId="0" fillId="0" borderId="0" xfId="0"/>
    <xf numFmtId="0" fontId="15" fillId="0" borderId="0" xfId="2" applyFont="1"/>
    <xf numFmtId="0" fontId="15" fillId="0" borderId="0" xfId="2" applyFont="1" applyAlignment="1"/>
    <xf numFmtId="0" fontId="19" fillId="0" borderId="0" xfId="2" applyFont="1"/>
    <xf numFmtId="0" fontId="15" fillId="0" borderId="0" xfId="2" applyFont="1" applyBorder="1"/>
    <xf numFmtId="0" fontId="19" fillId="0" borderId="0" xfId="2" applyFont="1" applyBorder="1"/>
    <xf numFmtId="0" fontId="16" fillId="0" borderId="0" xfId="2" applyFont="1" applyBorder="1"/>
    <xf numFmtId="0" fontId="18" fillId="0" borderId="0" xfId="2" applyFont="1" applyAlignment="1">
      <alignment horizontal="left"/>
    </xf>
    <xf numFmtId="41" fontId="15" fillId="0" borderId="0" xfId="2" applyNumberFormat="1" applyFont="1"/>
    <xf numFmtId="0" fontId="18" fillId="0" borderId="0" xfId="2" applyFont="1"/>
    <xf numFmtId="0" fontId="16" fillId="0" borderId="0" xfId="2" applyFont="1"/>
    <xf numFmtId="0" fontId="19" fillId="0" borderId="0" xfId="2" applyFont="1" applyAlignment="1"/>
    <xf numFmtId="0" fontId="17" fillId="0" borderId="0" xfId="2" applyFont="1"/>
    <xf numFmtId="0" fontId="19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0" xfId="2" applyFont="1" applyAlignment="1">
      <alignment horizontal="right"/>
    </xf>
    <xf numFmtId="0" fontId="15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2" borderId="0" xfId="2" applyFont="1" applyFill="1" applyAlignment="1">
      <alignment horizontal="center"/>
    </xf>
    <xf numFmtId="41" fontId="16" fillId="0" borderId="0" xfId="1" applyNumberFormat="1" applyFont="1" applyFill="1"/>
    <xf numFmtId="41" fontId="15" fillId="0" borderId="0" xfId="1" applyNumberFormat="1" applyFont="1" applyFill="1"/>
    <xf numFmtId="41" fontId="15" fillId="0" borderId="0" xfId="1" applyNumberFormat="1" applyFont="1"/>
    <xf numFmtId="41" fontId="15" fillId="0" borderId="3" xfId="1" applyNumberFormat="1" applyFont="1" applyBorder="1"/>
    <xf numFmtId="41" fontId="15" fillId="0" borderId="0" xfId="1" applyNumberFormat="1" applyFont="1" applyBorder="1"/>
    <xf numFmtId="0" fontId="20" fillId="0" borderId="0" xfId="0" applyFont="1"/>
    <xf numFmtId="38" fontId="20" fillId="0" borderId="0" xfId="0" applyNumberFormat="1" applyFont="1"/>
    <xf numFmtId="38" fontId="20" fillId="0" borderId="0" xfId="1" applyNumberFormat="1" applyFont="1"/>
    <xf numFmtId="38" fontId="20" fillId="0" borderId="3" xfId="0" applyNumberFormat="1" applyFont="1" applyBorder="1"/>
    <xf numFmtId="165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0" fillId="0" borderId="0" xfId="0" applyFont="1" applyFill="1"/>
    <xf numFmtId="0" fontId="15" fillId="0" borderId="0" xfId="0" applyFont="1" applyFill="1"/>
    <xf numFmtId="0" fontId="21" fillId="0" borderId="0" xfId="0" applyFont="1"/>
    <xf numFmtId="0" fontId="22" fillId="0" borderId="0" xfId="0" applyFont="1"/>
    <xf numFmtId="38" fontId="22" fillId="0" borderId="0" xfId="1" applyNumberFormat="1" applyFont="1"/>
    <xf numFmtId="0" fontId="21" fillId="0" borderId="0" xfId="0" applyFont="1" applyFill="1"/>
    <xf numFmtId="0" fontId="20" fillId="0" borderId="0" xfId="2" applyFont="1"/>
    <xf numFmtId="41" fontId="22" fillId="0" borderId="0" xfId="0" applyNumberFormat="1" applyFont="1"/>
    <xf numFmtId="41" fontId="22" fillId="0" borderId="0" xfId="1" applyNumberFormat="1" applyFont="1"/>
    <xf numFmtId="9" fontId="22" fillId="0" borderId="0" xfId="4" applyFont="1"/>
    <xf numFmtId="41" fontId="22" fillId="0" borderId="0" xfId="1" applyNumberFormat="1" applyFont="1" applyAlignment="1">
      <alignment horizontal="center"/>
    </xf>
    <xf numFmtId="41" fontId="20" fillId="0" borderId="0" xfId="0" applyNumberFormat="1" applyFont="1"/>
    <xf numFmtId="0" fontId="16" fillId="0" borderId="0" xfId="2" applyFont="1" applyAlignment="1">
      <alignment horizontal="left"/>
    </xf>
    <xf numFmtId="16" fontId="16" fillId="0" borderId="0" xfId="2" applyNumberFormat="1" applyFont="1" applyAlignment="1">
      <alignment horizontal="left"/>
    </xf>
    <xf numFmtId="0" fontId="23" fillId="0" borderId="0" xfId="0" applyFont="1"/>
    <xf numFmtId="41" fontId="23" fillId="0" borderId="0" xfId="0" applyNumberFormat="1" applyFont="1"/>
    <xf numFmtId="166" fontId="20" fillId="0" borderId="0" xfId="0" applyNumberFormat="1" applyFont="1"/>
    <xf numFmtId="167" fontId="20" fillId="0" borderId="0" xfId="0" applyNumberFormat="1" applyFont="1"/>
    <xf numFmtId="41" fontId="21" fillId="0" borderId="0" xfId="1" applyNumberFormat="1" applyFont="1" applyAlignment="1">
      <alignment horizontal="center"/>
    </xf>
    <xf numFmtId="41" fontId="16" fillId="0" borderId="0" xfId="1" applyNumberFormat="1" applyFont="1" applyBorder="1"/>
    <xf numFmtId="43" fontId="15" fillId="0" borderId="0" xfId="2" applyNumberFormat="1" applyFont="1"/>
    <xf numFmtId="41" fontId="16" fillId="0" borderId="3" xfId="1" applyNumberFormat="1" applyFont="1" applyBorder="1"/>
    <xf numFmtId="41" fontId="21" fillId="0" borderId="0" xfId="0" applyNumberFormat="1" applyFont="1"/>
    <xf numFmtId="0" fontId="16" fillId="0" borderId="0" xfId="2" applyFont="1" applyAlignment="1">
      <alignment horizontal="center"/>
    </xf>
    <xf numFmtId="41" fontId="15" fillId="0" borderId="0" xfId="2" applyNumberFormat="1" applyFont="1" applyBorder="1"/>
    <xf numFmtId="0" fontId="16" fillId="0" borderId="0" xfId="2" applyFont="1" applyAlignment="1">
      <alignment horizontal="center"/>
    </xf>
    <xf numFmtId="41" fontId="22" fillId="0" borderId="0" xfId="1" applyNumberFormat="1" applyFont="1" applyFill="1"/>
    <xf numFmtId="41" fontId="15" fillId="0" borderId="0" xfId="1" applyNumberFormat="1" applyFont="1" applyFill="1" applyBorder="1"/>
    <xf numFmtId="43" fontId="15" fillId="0" borderId="0" xfId="2" applyNumberFormat="1" applyFont="1" applyBorder="1"/>
    <xf numFmtId="0" fontId="20" fillId="3" borderId="0" xfId="0" applyFont="1" applyFill="1"/>
    <xf numFmtId="0" fontId="15" fillId="3" borderId="0" xfId="2" applyFont="1" applyFill="1" applyAlignment="1">
      <alignment horizontal="center"/>
    </xf>
    <xf numFmtId="41" fontId="21" fillId="0" borderId="0" xfId="1" applyNumberFormat="1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5" fillId="0" borderId="0" xfId="2" applyFont="1" applyFill="1"/>
    <xf numFmtId="41" fontId="15" fillId="0" borderId="0" xfId="2" applyNumberFormat="1" applyFont="1" applyFill="1"/>
    <xf numFmtId="0" fontId="16" fillId="0" borderId="0" xfId="2" applyFont="1" applyFill="1" applyAlignment="1">
      <alignment horizontal="right"/>
    </xf>
    <xf numFmtId="41" fontId="15" fillId="0" borderId="2" xfId="1" applyNumberFormat="1" applyFont="1" applyFill="1" applyBorder="1"/>
    <xf numFmtId="166" fontId="20" fillId="0" borderId="0" xfId="0" applyNumberFormat="1" applyFont="1" applyFill="1"/>
    <xf numFmtId="167" fontId="20" fillId="0" borderId="0" xfId="0" applyNumberFormat="1" applyFont="1" applyFill="1"/>
    <xf numFmtId="41" fontId="16" fillId="0" borderId="0" xfId="1" applyNumberFormat="1" applyFont="1" applyFill="1" applyBorder="1" applyAlignment="1">
      <alignment vertical="center"/>
    </xf>
    <xf numFmtId="41" fontId="16" fillId="0" borderId="0" xfId="1" applyNumberFormat="1" applyFont="1" applyFill="1" applyBorder="1"/>
    <xf numFmtId="41" fontId="16" fillId="0" borderId="0" xfId="1" applyNumberFormat="1" applyFont="1" applyFill="1" applyBorder="1" applyAlignment="1"/>
    <xf numFmtId="49" fontId="26" fillId="0" borderId="0" xfId="0" applyNumberFormat="1" applyFont="1" applyAlignment="1">
      <alignment horizontal="left"/>
    </xf>
    <xf numFmtId="166" fontId="26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left"/>
    </xf>
    <xf numFmtId="0" fontId="26" fillId="0" borderId="0" xfId="0" applyFont="1"/>
    <xf numFmtId="41" fontId="26" fillId="0" borderId="0" xfId="0" applyNumberFormat="1" applyFont="1"/>
    <xf numFmtId="41" fontId="26" fillId="0" borderId="0" xfId="0" applyNumberFormat="1" applyFont="1" applyFill="1" applyBorder="1"/>
    <xf numFmtId="49" fontId="26" fillId="0" borderId="0" xfId="0" applyNumberFormat="1" applyFont="1" applyFill="1" applyAlignment="1">
      <alignment horizontal="left"/>
    </xf>
    <xf numFmtId="0" fontId="26" fillId="0" borderId="0" xfId="0" applyFont="1" applyFill="1"/>
    <xf numFmtId="41" fontId="26" fillId="0" borderId="0" xfId="0" applyNumberFormat="1" applyFont="1" applyFill="1"/>
    <xf numFmtId="41" fontId="22" fillId="0" borderId="0" xfId="0" applyNumberFormat="1" applyFont="1" applyFill="1"/>
    <xf numFmtId="49" fontId="20" fillId="0" borderId="0" xfId="0" applyNumberFormat="1" applyFont="1" applyFill="1"/>
    <xf numFmtId="41" fontId="22" fillId="0" borderId="0" xfId="0" applyNumberFormat="1" applyFont="1" applyAlignment="1">
      <alignment horizontal="left" indent="1"/>
    </xf>
    <xf numFmtId="41" fontId="16" fillId="0" borderId="4" xfId="1" applyNumberFormat="1" applyFont="1" applyFill="1" applyBorder="1"/>
    <xf numFmtId="0" fontId="26" fillId="0" borderId="0" xfId="68" applyFont="1"/>
    <xf numFmtId="49" fontId="26" fillId="0" borderId="0" xfId="68" applyNumberFormat="1" applyFont="1" applyAlignment="1">
      <alignment horizontal="left"/>
    </xf>
    <xf numFmtId="38" fontId="15" fillId="0" borderId="0" xfId="1" applyNumberFormat="1" applyFont="1"/>
    <xf numFmtId="38" fontId="15" fillId="0" borderId="0" xfId="2" applyNumberFormat="1" applyFont="1"/>
    <xf numFmtId="0" fontId="27" fillId="0" borderId="0" xfId="0" applyFont="1" applyAlignment="1">
      <alignment horizontal="center"/>
    </xf>
    <xf numFmtId="0" fontId="27" fillId="0" borderId="0" xfId="0" applyFont="1"/>
    <xf numFmtId="164" fontId="28" fillId="0" borderId="0" xfId="0" applyNumberFormat="1" applyFont="1" applyAlignment="1" applyProtection="1">
      <alignment horizontal="center"/>
      <protection locked="0"/>
    </xf>
    <xf numFmtId="164" fontId="28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164" fontId="28" fillId="0" borderId="0" xfId="0" applyNumberFormat="1" applyFont="1" applyFill="1" applyAlignment="1" applyProtection="1">
      <alignment horizontal="left"/>
      <protection locked="0"/>
    </xf>
    <xf numFmtId="10" fontId="27" fillId="0" borderId="0" xfId="4" applyNumberFormat="1" applyFont="1"/>
    <xf numFmtId="10" fontId="27" fillId="0" borderId="0" xfId="4" applyNumberFormat="1" applyFont="1" applyAlignment="1">
      <alignment horizontal="center"/>
    </xf>
    <xf numFmtId="40" fontId="27" fillId="0" borderId="0" xfId="1" applyFont="1"/>
    <xf numFmtId="40" fontId="28" fillId="0" borderId="0" xfId="1" applyFont="1" applyProtection="1">
      <protection locked="0"/>
    </xf>
    <xf numFmtId="164" fontId="28" fillId="0" borderId="1" xfId="0" applyNumberFormat="1" applyFont="1" applyFill="1" applyBorder="1" applyAlignment="1" applyProtection="1">
      <alignment horizontal="center"/>
      <protection locked="0"/>
    </xf>
    <xf numFmtId="0" fontId="29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30" fillId="0" borderId="0" xfId="0" applyFont="1" applyFill="1"/>
    <xf numFmtId="43" fontId="30" fillId="0" borderId="0" xfId="9" applyNumberFormat="1" applyFont="1" applyFill="1"/>
    <xf numFmtId="38" fontId="30" fillId="0" borderId="0" xfId="1" applyNumberFormat="1" applyFont="1" applyFill="1" applyProtection="1">
      <protection locked="0"/>
    </xf>
    <xf numFmtId="38" fontId="27" fillId="0" borderId="0" xfId="1" applyNumberFormat="1" applyFont="1"/>
    <xf numFmtId="38" fontId="27" fillId="0" borderId="0" xfId="1" applyNumberFormat="1" applyFont="1" applyAlignment="1">
      <alignment horizontal="center"/>
    </xf>
    <xf numFmtId="38" fontId="27" fillId="0" borderId="0" xfId="0" applyNumberFormat="1" applyFont="1"/>
    <xf numFmtId="0" fontId="30" fillId="0" borderId="6" xfId="3" applyFont="1" applyFill="1" applyBorder="1"/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0" xfId="0" applyFont="1" applyFill="1"/>
    <xf numFmtId="0" fontId="30" fillId="0" borderId="0" xfId="0" applyFont="1"/>
    <xf numFmtId="38" fontId="30" fillId="0" borderId="0" xfId="1" applyNumberFormat="1" applyFont="1" applyProtection="1">
      <protection locked="0"/>
    </xf>
    <xf numFmtId="0" fontId="27" fillId="0" borderId="1" xfId="0" applyFont="1" applyBorder="1" applyAlignment="1">
      <alignment horizontal="center"/>
    </xf>
    <xf numFmtId="0" fontId="29" fillId="0" borderId="7" xfId="0" applyFont="1" applyFill="1" applyBorder="1"/>
    <xf numFmtId="0" fontId="28" fillId="0" borderId="2" xfId="0" applyFont="1" applyFill="1" applyBorder="1"/>
    <xf numFmtId="38" fontId="29" fillId="0" borderId="0" xfId="1" applyNumberFormat="1" applyFont="1" applyFill="1"/>
    <xf numFmtId="38" fontId="29" fillId="0" borderId="0" xfId="1" applyNumberFormat="1" applyFont="1"/>
    <xf numFmtId="0" fontId="29" fillId="0" borderId="7" xfId="0" quotePrefix="1" applyFont="1" applyFill="1" applyBorder="1"/>
    <xf numFmtId="0" fontId="29" fillId="0" borderId="0" xfId="0" applyFont="1" applyFill="1"/>
    <xf numFmtId="38" fontId="27" fillId="0" borderId="0" xfId="1" applyNumberFormat="1" applyFont="1" applyFill="1"/>
    <xf numFmtId="0" fontId="27" fillId="0" borderId="8" xfId="0" applyFont="1" applyBorder="1" applyAlignment="1">
      <alignment horizontal="center"/>
    </xf>
    <xf numFmtId="0" fontId="30" fillId="0" borderId="0" xfId="3" applyFont="1" applyFill="1" applyBorder="1"/>
    <xf numFmtId="43" fontId="30" fillId="0" borderId="0" xfId="9" applyFont="1" applyFill="1"/>
    <xf numFmtId="38" fontId="29" fillId="0" borderId="3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5" xfId="0" applyFont="1" applyFill="1" applyBorder="1"/>
    <xf numFmtId="1" fontId="29" fillId="0" borderId="6" xfId="0" applyNumberFormat="1" applyFont="1" applyFill="1" applyBorder="1" applyAlignment="1">
      <alignment horizontal="left"/>
    </xf>
    <xf numFmtId="1" fontId="29" fillId="0" borderId="7" xfId="0" applyNumberFormat="1" applyFont="1" applyFill="1" applyBorder="1" applyAlignment="1">
      <alignment horizontal="left"/>
    </xf>
    <xf numFmtId="38" fontId="29" fillId="0" borderId="2" xfId="1" applyNumberFormat="1" applyFont="1" applyBorder="1"/>
    <xf numFmtId="38" fontId="29" fillId="0" borderId="3" xfId="0" applyNumberFormat="1" applyFont="1" applyFill="1" applyBorder="1"/>
    <xf numFmtId="43" fontId="22" fillId="0" borderId="0" xfId="0" applyNumberFormat="1" applyFont="1" applyAlignment="1">
      <alignment horizontal="left" indent="1"/>
    </xf>
    <xf numFmtId="169" fontId="22" fillId="0" borderId="0" xfId="1" applyNumberFormat="1" applyFont="1"/>
    <xf numFmtId="40" fontId="27" fillId="0" borderId="0" xfId="1" applyFont="1" applyFill="1"/>
    <xf numFmtId="38" fontId="32" fillId="0" borderId="0" xfId="1" applyNumberFormat="1" applyFont="1"/>
    <xf numFmtId="38" fontId="32" fillId="0" borderId="0" xfId="1" applyNumberFormat="1" applyFont="1" applyAlignment="1">
      <alignment horizontal="center"/>
    </xf>
    <xf numFmtId="49" fontId="27" fillId="0" borderId="0" xfId="1" applyNumberFormat="1" applyFont="1" applyAlignment="1">
      <alignment horizontal="center"/>
    </xf>
    <xf numFmtId="49" fontId="20" fillId="0" borderId="0" xfId="0" applyNumberFormat="1" applyFont="1"/>
    <xf numFmtId="41" fontId="21" fillId="0" borderId="0" xfId="1" applyNumberFormat="1" applyFont="1"/>
    <xf numFmtId="0" fontId="1" fillId="0" borderId="0" xfId="77"/>
    <xf numFmtId="0" fontId="33" fillId="0" borderId="0" xfId="77" applyFont="1"/>
    <xf numFmtId="49" fontId="1" fillId="0" borderId="0" xfId="77" applyNumberFormat="1" applyAlignment="1">
      <alignment horizontal="left"/>
    </xf>
    <xf numFmtId="49" fontId="33" fillId="0" borderId="0" xfId="77" applyNumberFormat="1" applyFont="1" applyAlignment="1">
      <alignment horizontal="left"/>
    </xf>
    <xf numFmtId="41" fontId="1" fillId="0" borderId="0" xfId="77" applyNumberFormat="1"/>
    <xf numFmtId="41" fontId="33" fillId="0" borderId="0" xfId="77" applyNumberFormat="1" applyFont="1"/>
    <xf numFmtId="0" fontId="15" fillId="3" borderId="0" xfId="2" applyFont="1" applyFill="1"/>
    <xf numFmtId="49" fontId="26" fillId="0" borderId="0" xfId="68" applyNumberFormat="1" applyFont="1" applyFill="1" applyAlignment="1">
      <alignment horizontal="left"/>
    </xf>
    <xf numFmtId="0" fontId="26" fillId="0" borderId="0" xfId="68" applyFont="1" applyFill="1"/>
    <xf numFmtId="9" fontId="21" fillId="0" borderId="0" xfId="1" applyNumberFormat="1" applyFont="1" applyAlignment="1">
      <alignment horizontal="center"/>
    </xf>
    <xf numFmtId="0" fontId="34" fillId="0" borderId="0" xfId="78"/>
    <xf numFmtId="168" fontId="34" fillId="0" borderId="0" xfId="78" applyNumberFormat="1"/>
    <xf numFmtId="41" fontId="34" fillId="0" borderId="0" xfId="78" applyNumberFormat="1"/>
    <xf numFmtId="40" fontId="27" fillId="3" borderId="0" xfId="1" applyFont="1" applyFill="1"/>
    <xf numFmtId="41" fontId="0" fillId="0" borderId="0" xfId="0" applyNumberFormat="1"/>
    <xf numFmtId="10" fontId="1" fillId="0" borderId="0" xfId="4" applyNumberFormat="1" applyFont="1"/>
    <xf numFmtId="38" fontId="20" fillId="0" borderId="0" xfId="0" applyNumberFormat="1" applyFont="1" applyFill="1"/>
    <xf numFmtId="0" fontId="19" fillId="0" borderId="0" xfId="2" applyFont="1" applyFill="1"/>
    <xf numFmtId="41" fontId="15" fillId="0" borderId="3" xfId="1" applyNumberFormat="1" applyFont="1" applyFill="1" applyBorder="1"/>
    <xf numFmtId="0" fontId="17" fillId="0" borderId="0" xfId="2" applyFont="1" applyFill="1"/>
    <xf numFmtId="41" fontId="21" fillId="3" borderId="0" xfId="0" applyNumberFormat="1" applyFont="1" applyFill="1"/>
    <xf numFmtId="9" fontId="22" fillId="3" borderId="0" xfId="4" applyFont="1" applyFill="1"/>
    <xf numFmtId="169" fontId="22" fillId="0" borderId="0" xfId="1" applyNumberFormat="1" applyFont="1" applyFill="1"/>
    <xf numFmtId="0" fontId="16" fillId="0" borderId="0" xfId="2" applyFont="1" applyAlignment="1">
      <alignment horizontal="left" wrapText="1"/>
    </xf>
    <xf numFmtId="0" fontId="15" fillId="0" borderId="0" xfId="2" applyFont="1" applyAlignment="1">
      <alignment horizontal="left" wrapText="1"/>
    </xf>
    <xf numFmtId="0" fontId="1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0" fontId="27" fillId="0" borderId="0" xfId="4" applyNumberFormat="1" applyFont="1" applyAlignment="1">
      <alignment horizontal="center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8" fillId="0" borderId="0" xfId="0" applyFont="1" applyAlignment="1">
      <alignment horizontal="left"/>
    </xf>
  </cellXfs>
  <cellStyles count="79">
    <cellStyle name="Comma" xfId="1" builtinId="3"/>
    <cellStyle name="Comma 10" xfId="7" xr:uid="{00000000-0005-0000-0000-000001000000}"/>
    <cellStyle name="Comma 11" xfId="70" xr:uid="{00000000-0005-0000-0000-000002000000}"/>
    <cellStyle name="Comma 12" xfId="76" xr:uid="{00000000-0005-0000-0000-000003000000}"/>
    <cellStyle name="Comma 2" xfId="5" xr:uid="{00000000-0005-0000-0000-000004000000}"/>
    <cellStyle name="Comma 2 2" xfId="9" xr:uid="{00000000-0005-0000-0000-000005000000}"/>
    <cellStyle name="Comma 2 2 2" xfId="10" xr:uid="{00000000-0005-0000-0000-000006000000}"/>
    <cellStyle name="Comma 2 3" xfId="8" xr:uid="{00000000-0005-0000-0000-000007000000}"/>
    <cellStyle name="Comma 3" xfId="11" xr:uid="{00000000-0005-0000-0000-000008000000}"/>
    <cellStyle name="Comma 4" xfId="12" xr:uid="{00000000-0005-0000-0000-000009000000}"/>
    <cellStyle name="Comma 4 2" xfId="13" xr:uid="{00000000-0005-0000-0000-00000A000000}"/>
    <cellStyle name="Comma 4 3" xfId="14" xr:uid="{00000000-0005-0000-0000-00000B000000}"/>
    <cellStyle name="Comma 4 4" xfId="15" xr:uid="{00000000-0005-0000-0000-00000C000000}"/>
    <cellStyle name="Comma 5" xfId="16" xr:uid="{00000000-0005-0000-0000-00000D000000}"/>
    <cellStyle name="Comma 5 2" xfId="17" xr:uid="{00000000-0005-0000-0000-00000E000000}"/>
    <cellStyle name="Comma 5 3" xfId="18" xr:uid="{00000000-0005-0000-0000-00000F000000}"/>
    <cellStyle name="Comma 6" xfId="19" xr:uid="{00000000-0005-0000-0000-000010000000}"/>
    <cellStyle name="Comma 7" xfId="20" xr:uid="{00000000-0005-0000-0000-000011000000}"/>
    <cellStyle name="Comma 8" xfId="21" xr:uid="{00000000-0005-0000-0000-000012000000}"/>
    <cellStyle name="Comma 9" xfId="22" xr:uid="{00000000-0005-0000-0000-000013000000}"/>
    <cellStyle name="Currency 2" xfId="23" xr:uid="{00000000-0005-0000-0000-000015000000}"/>
    <cellStyle name="Currency 2 2" xfId="24" xr:uid="{00000000-0005-0000-0000-000016000000}"/>
    <cellStyle name="Currency 2 2 2" xfId="25" xr:uid="{00000000-0005-0000-0000-000017000000}"/>
    <cellStyle name="Currency 3" xfId="26" xr:uid="{00000000-0005-0000-0000-000018000000}"/>
    <cellStyle name="Currency 4" xfId="27" xr:uid="{00000000-0005-0000-0000-000019000000}"/>
    <cellStyle name="Currency 4 2" xfId="28" xr:uid="{00000000-0005-0000-0000-00001A000000}"/>
    <cellStyle name="Currency 4 3" xfId="29" xr:uid="{00000000-0005-0000-0000-00001B000000}"/>
    <cellStyle name="Currency 4 4" xfId="30" xr:uid="{00000000-0005-0000-0000-00001C000000}"/>
    <cellStyle name="Currency 5" xfId="31" xr:uid="{00000000-0005-0000-0000-00001D000000}"/>
    <cellStyle name="Currency 5 2" xfId="32" xr:uid="{00000000-0005-0000-0000-00001E000000}"/>
    <cellStyle name="Currency 5 3" xfId="33" xr:uid="{00000000-0005-0000-0000-00001F000000}"/>
    <cellStyle name="Currency 6" xfId="34" xr:uid="{00000000-0005-0000-0000-000020000000}"/>
    <cellStyle name="Currency 7" xfId="35" xr:uid="{00000000-0005-0000-0000-000021000000}"/>
    <cellStyle name="Currency 8" xfId="36" xr:uid="{00000000-0005-0000-0000-000022000000}"/>
    <cellStyle name="Normal" xfId="0" builtinId="0"/>
    <cellStyle name="Normal 10" xfId="37" xr:uid="{00000000-0005-0000-0000-000025000000}"/>
    <cellStyle name="Normal 11" xfId="6" xr:uid="{00000000-0005-0000-0000-000026000000}"/>
    <cellStyle name="Normal 12" xfId="63" xr:uid="{00000000-0005-0000-0000-000027000000}"/>
    <cellStyle name="Normal 13" xfId="64" xr:uid="{00000000-0005-0000-0000-000028000000}"/>
    <cellStyle name="Normal 14" xfId="65" xr:uid="{00000000-0005-0000-0000-000029000000}"/>
    <cellStyle name="Normal 15" xfId="66" xr:uid="{00000000-0005-0000-0000-00002A000000}"/>
    <cellStyle name="Normal 16" xfId="67" xr:uid="{00000000-0005-0000-0000-00002B000000}"/>
    <cellStyle name="Normal 17" xfId="68" xr:uid="{00000000-0005-0000-0000-00002C000000}"/>
    <cellStyle name="Normal 18" xfId="69" xr:uid="{00000000-0005-0000-0000-00002D000000}"/>
    <cellStyle name="Normal 19" xfId="72" xr:uid="{00000000-0005-0000-0000-00002E000000}"/>
    <cellStyle name="Normal 2" xfId="38" xr:uid="{00000000-0005-0000-0000-00002F000000}"/>
    <cellStyle name="Normal 2 2" xfId="39" xr:uid="{00000000-0005-0000-0000-000030000000}"/>
    <cellStyle name="Normal 2 3" xfId="40" xr:uid="{00000000-0005-0000-0000-000031000000}"/>
    <cellStyle name="Normal 20" xfId="73" xr:uid="{00000000-0005-0000-0000-000032000000}"/>
    <cellStyle name="Normal 21" xfId="74" xr:uid="{00000000-0005-0000-0000-000033000000}"/>
    <cellStyle name="Normal 22" xfId="75" xr:uid="{00000000-0005-0000-0000-000034000000}"/>
    <cellStyle name="Normal 23" xfId="77" xr:uid="{00000000-0005-0000-0000-00007B000000}"/>
    <cellStyle name="Normal 24" xfId="78" xr:uid="{F7CD73BC-86E9-4A03-AF95-072EBA838C14}"/>
    <cellStyle name="Normal 3" xfId="41" xr:uid="{00000000-0005-0000-0000-000035000000}"/>
    <cellStyle name="Normal 3 2" xfId="42" xr:uid="{00000000-0005-0000-0000-000036000000}"/>
    <cellStyle name="Normal 3 3" xfId="43" xr:uid="{00000000-0005-0000-0000-000037000000}"/>
    <cellStyle name="Normal 4" xfId="44" xr:uid="{00000000-0005-0000-0000-000038000000}"/>
    <cellStyle name="Normal 5" xfId="45" xr:uid="{00000000-0005-0000-0000-000039000000}"/>
    <cellStyle name="Normal 6" xfId="46" xr:uid="{00000000-0005-0000-0000-00003A000000}"/>
    <cellStyle name="Normal 6 2" xfId="47" xr:uid="{00000000-0005-0000-0000-00003B000000}"/>
    <cellStyle name="Normal 7" xfId="48" xr:uid="{00000000-0005-0000-0000-00003C000000}"/>
    <cellStyle name="Normal 8" xfId="49" xr:uid="{00000000-0005-0000-0000-00003D000000}"/>
    <cellStyle name="Normal 9" xfId="50" xr:uid="{00000000-0005-0000-0000-00003E000000}"/>
    <cellStyle name="Normal_Miami Budget Update - Jan 05 - Complete PR" xfId="2" xr:uid="{00000000-0005-0000-0000-00003F000000}"/>
    <cellStyle name="Normal_Waterstone PAYROLL 05-06" xfId="3" xr:uid="{00000000-0005-0000-0000-000040000000}"/>
    <cellStyle name="Percent" xfId="4" builtinId="5"/>
    <cellStyle name="Percent 2" xfId="51" xr:uid="{00000000-0005-0000-0000-000042000000}"/>
    <cellStyle name="Percent 2 2" xfId="52" xr:uid="{00000000-0005-0000-0000-000043000000}"/>
    <cellStyle name="Percent 2 3" xfId="53" xr:uid="{00000000-0005-0000-0000-000044000000}"/>
    <cellStyle name="Percent 3" xfId="54" xr:uid="{00000000-0005-0000-0000-000045000000}"/>
    <cellStyle name="Percent 4" xfId="55" xr:uid="{00000000-0005-0000-0000-000046000000}"/>
    <cellStyle name="Percent 4 2" xfId="56" xr:uid="{00000000-0005-0000-0000-000047000000}"/>
    <cellStyle name="Percent 4 3" xfId="57" xr:uid="{00000000-0005-0000-0000-000048000000}"/>
    <cellStyle name="Percent 4 4" xfId="58" xr:uid="{00000000-0005-0000-0000-000049000000}"/>
    <cellStyle name="Percent 5" xfId="59" xr:uid="{00000000-0005-0000-0000-00004A000000}"/>
    <cellStyle name="Percent 5 2" xfId="60" xr:uid="{00000000-0005-0000-0000-00004B000000}"/>
    <cellStyle name="Percent 5 3" xfId="61" xr:uid="{00000000-0005-0000-0000-00004C000000}"/>
    <cellStyle name="Percent 6" xfId="62" xr:uid="{00000000-0005-0000-0000-00004D000000}"/>
    <cellStyle name="Percent 7" xfId="71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ldoe.org/USERDATA/EXCEL/FTE97E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MARY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EXCEL\FTE97E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ennemur\AppData\Local\Microsoft\Windows\Temporary%20Internet%20Files\Content.Outlook\GTPLOBU5\1617CSREW%20(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01\c\DOCUME~1\KEITHH~1.SPE\LOCALS~1\Temp\PBEDL%20Aug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s2\c%20on%20sfs2\DOCUME~1\CHRIS-~1.BHC\LOCALS~1\Temp\C.Lotus.Notes.Data\AJC\S%20L%20Jones%20%20Operat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eavins\Desktop\New%20Year%20Budget\API%20Budget%20FY17a%20wrong%20one%20used%20vl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ut\Feb%201999\PACS_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p FB"/>
      <sheetName val="Narrative"/>
      <sheetName val="Cash Flow Startup"/>
      <sheetName val="Cash Flow 1"/>
      <sheetName val="Cash Flow 2"/>
      <sheetName val="Cash Flow 3"/>
      <sheetName val="Cash Flow 4"/>
      <sheetName val="Cash Flow 5"/>
      <sheetName val="Staffing"/>
      <sheetName val="Enroll"/>
      <sheetName val="Misc"/>
      <sheetName val="Food Svc"/>
      <sheetName val="Computer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harter school calculator"/>
      <sheetName val=" Detail 2016-17 Second FEFP"/>
      <sheetName val="111-112-113 ADDITIONAL FUND"/>
      <sheetName val="Transportation Per Student"/>
      <sheetName val="75% or more ESE Calc"/>
    </sheetNames>
    <sheetDataSet>
      <sheetData sheetId="0"/>
      <sheetData sheetId="1">
        <row r="3">
          <cell r="B3" t="str">
            <v>Alachua</v>
          </cell>
        </row>
      </sheetData>
      <sheetData sheetId="2">
        <row r="6">
          <cell r="D6">
            <v>975</v>
          </cell>
        </row>
      </sheetData>
      <sheetData sheetId="3">
        <row r="13">
          <cell r="F13">
            <v>380</v>
          </cell>
        </row>
      </sheetData>
      <sheetData sheetId="4">
        <row r="89">
          <cell r="H89">
            <v>369227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EDL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Budget"/>
      <sheetName val="Data"/>
      <sheetName val="Personnel"/>
      <sheetName val="FD Budget 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Budget - VLA"/>
      <sheetName val="Rev Input"/>
      <sheetName val="Payroll Input"/>
      <sheetName val="Payroll Allocations"/>
      <sheetName val=" Expense Input"/>
      <sheetName val="Debt Svc"/>
      <sheetName val="FY14"/>
      <sheetName val="Active"/>
      <sheetName val="WCS Cash Flow Feb 10"/>
    </sheetNames>
    <sheetDataSet>
      <sheetData sheetId="0"/>
      <sheetData sheetId="1"/>
      <sheetData sheetId="2">
        <row r="83">
          <cell r="O83">
            <v>401.66</v>
          </cell>
        </row>
      </sheetData>
      <sheetData sheetId="3">
        <row r="260">
          <cell r="D260">
            <v>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"/>
      <sheetName val="BS"/>
      <sheetName val="IS"/>
      <sheetName val="Forecast"/>
      <sheetName val="Revenue"/>
      <sheetName val="Expense"/>
      <sheetName val="Graph"/>
      <sheetName val="Enrollment"/>
      <sheetName val="Forecast WS"/>
      <sheetName val="Acctg IS"/>
      <sheetName val="Acctg BS"/>
      <sheetName val="Budget"/>
      <sheetName val="TB"/>
      <sheetName val="GL"/>
      <sheetName val="StkIn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6">
          <cell r="A6" t="str">
            <v>Revenues</v>
          </cell>
        </row>
        <row r="8">
          <cell r="A8" t="str">
            <v>Number of Students B.O.M.</v>
          </cell>
          <cell r="B8">
            <v>819</v>
          </cell>
          <cell r="C8">
            <v>819</v>
          </cell>
          <cell r="D8">
            <v>819</v>
          </cell>
          <cell r="E8">
            <v>819</v>
          </cell>
          <cell r="F8">
            <v>819</v>
          </cell>
          <cell r="G8">
            <v>819</v>
          </cell>
          <cell r="H8">
            <v>819</v>
          </cell>
          <cell r="I8">
            <v>819</v>
          </cell>
          <cell r="J8">
            <v>819</v>
          </cell>
          <cell r="K8">
            <v>819</v>
          </cell>
          <cell r="L8">
            <v>819</v>
          </cell>
          <cell r="M8">
            <v>819</v>
          </cell>
          <cell r="N8">
            <v>819</v>
          </cell>
        </row>
        <row r="9">
          <cell r="A9" t="str">
            <v>Local Cap. / Student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State Cap. / Student</v>
          </cell>
          <cell r="B10">
            <v>332041</v>
          </cell>
          <cell r="C10">
            <v>332041</v>
          </cell>
          <cell r="D10">
            <v>233908</v>
          </cell>
          <cell r="E10">
            <v>263536</v>
          </cell>
          <cell r="F10">
            <v>290381.5</v>
          </cell>
          <cell r="G10">
            <v>294217</v>
          </cell>
          <cell r="H10">
            <v>289742</v>
          </cell>
          <cell r="I10">
            <v>289742</v>
          </cell>
          <cell r="J10">
            <v>289742</v>
          </cell>
          <cell r="K10">
            <v>289742</v>
          </cell>
          <cell r="L10">
            <v>289742</v>
          </cell>
          <cell r="M10">
            <v>289742</v>
          </cell>
          <cell r="N10">
            <v>3484576.5</v>
          </cell>
          <cell r="P10">
            <v>2035866.5</v>
          </cell>
          <cell r="Q10">
            <v>1448710</v>
          </cell>
          <cell r="R10">
            <v>3484576.5</v>
          </cell>
        </row>
        <row r="11">
          <cell r="A11" t="str">
            <v>State Start-Up Grant</v>
          </cell>
          <cell r="B11">
            <v>9583</v>
          </cell>
          <cell r="C11">
            <v>9583</v>
          </cell>
          <cell r="D11">
            <v>-19166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Fed Cap. / Student</v>
          </cell>
          <cell r="B12">
            <v>11887</v>
          </cell>
          <cell r="C12">
            <v>11887</v>
          </cell>
          <cell r="D12">
            <v>11887</v>
          </cell>
          <cell r="E12">
            <v>11882</v>
          </cell>
          <cell r="F12">
            <v>11053.16</v>
          </cell>
          <cell r="G12">
            <v>11049.16</v>
          </cell>
          <cell r="H12">
            <v>11054</v>
          </cell>
          <cell r="I12">
            <v>11054</v>
          </cell>
          <cell r="J12">
            <v>11054</v>
          </cell>
          <cell r="K12">
            <v>11054</v>
          </cell>
          <cell r="L12">
            <v>11054</v>
          </cell>
          <cell r="M12">
            <v>11054</v>
          </cell>
          <cell r="N12">
            <v>135969.32</v>
          </cell>
          <cell r="P12">
            <v>80699.320000000007</v>
          </cell>
          <cell r="Q12">
            <v>55270</v>
          </cell>
          <cell r="R12">
            <v>135969.32</v>
          </cell>
        </row>
        <row r="13">
          <cell r="A13" t="str">
            <v>Private Grants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5000</v>
          </cell>
          <cell r="L13">
            <v>0</v>
          </cell>
          <cell r="M13">
            <v>25000</v>
          </cell>
          <cell r="N13">
            <v>30000</v>
          </cell>
          <cell r="P13">
            <v>0</v>
          </cell>
          <cell r="Q13">
            <v>30000</v>
          </cell>
          <cell r="R13">
            <v>30000</v>
          </cell>
        </row>
        <row r="14">
          <cell r="A14" t="str">
            <v xml:space="preserve">State Spec Ed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Fed Spec Ed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Total Earned Capitation</v>
          </cell>
          <cell r="B16">
            <v>353511</v>
          </cell>
          <cell r="C16">
            <v>353511</v>
          </cell>
          <cell r="D16">
            <v>226629</v>
          </cell>
          <cell r="E16">
            <v>275418</v>
          </cell>
          <cell r="F16">
            <v>301434.65999999997</v>
          </cell>
          <cell r="G16">
            <v>305266.15999999997</v>
          </cell>
          <cell r="H16">
            <v>300796</v>
          </cell>
          <cell r="I16">
            <v>300796</v>
          </cell>
          <cell r="J16">
            <v>300796</v>
          </cell>
          <cell r="K16">
            <v>305796</v>
          </cell>
          <cell r="L16">
            <v>300796</v>
          </cell>
          <cell r="M16">
            <v>325796</v>
          </cell>
          <cell r="N16">
            <v>3650545.8200000003</v>
          </cell>
          <cell r="P16">
            <v>2116565.8199999998</v>
          </cell>
          <cell r="Q16">
            <v>1533980</v>
          </cell>
          <cell r="R16">
            <v>3650545.82</v>
          </cell>
        </row>
        <row r="19">
          <cell r="A19" t="str">
            <v>Fed Free Lunch &amp; Breakfast</v>
          </cell>
          <cell r="B19">
            <v>0</v>
          </cell>
          <cell r="C19">
            <v>7200</v>
          </cell>
          <cell r="D19">
            <v>15000</v>
          </cell>
          <cell r="E19">
            <v>52800</v>
          </cell>
          <cell r="F19">
            <v>20228</v>
          </cell>
          <cell r="G19">
            <v>30000</v>
          </cell>
          <cell r="H19">
            <v>30000</v>
          </cell>
          <cell r="I19">
            <v>20000</v>
          </cell>
          <cell r="J19">
            <v>20000</v>
          </cell>
          <cell r="K19">
            <v>20000</v>
          </cell>
          <cell r="L19">
            <v>20000</v>
          </cell>
          <cell r="M19">
            <v>20000</v>
          </cell>
          <cell r="N19">
            <v>255228</v>
          </cell>
          <cell r="P19">
            <v>155228</v>
          </cell>
          <cell r="Q19">
            <v>100000</v>
          </cell>
          <cell r="R19">
            <v>255228</v>
          </cell>
        </row>
        <row r="20">
          <cell r="A20" t="str">
            <v>Fed Reduced Lunch &amp; Bkfst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10433.6505</v>
          </cell>
          <cell r="J20">
            <v>12081.069</v>
          </cell>
          <cell r="K20">
            <v>8786.232</v>
          </cell>
          <cell r="L20">
            <v>10982.79</v>
          </cell>
          <cell r="M20">
            <v>9884.5109999999986</v>
          </cell>
          <cell r="N20">
            <v>52168.252500000002</v>
          </cell>
          <cell r="P20">
            <v>0</v>
          </cell>
          <cell r="Q20">
            <v>52168.252500000002</v>
          </cell>
          <cell r="R20">
            <v>52168.252500000002</v>
          </cell>
        </row>
        <row r="21">
          <cell r="A21" t="str">
            <v>Fed Paying Student Offset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591.3180000000001</v>
          </cell>
          <cell r="J21">
            <v>684.68400000000008</v>
          </cell>
          <cell r="K21">
            <v>497.95200000000006</v>
          </cell>
          <cell r="L21">
            <v>622.44000000000005</v>
          </cell>
          <cell r="M21">
            <v>560.19600000000014</v>
          </cell>
          <cell r="N21">
            <v>2956.5900000000006</v>
          </cell>
          <cell r="P21">
            <v>0</v>
          </cell>
          <cell r="Q21">
            <v>2956.59</v>
          </cell>
          <cell r="R21">
            <v>2956.59</v>
          </cell>
        </row>
        <row r="22">
          <cell r="A22" t="str">
            <v>Student Revs Reduced</v>
          </cell>
          <cell r="B22">
            <v>0</v>
          </cell>
          <cell r="C22">
            <v>375</v>
          </cell>
          <cell r="D22">
            <v>1000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3104.4195</v>
          </cell>
          <cell r="J22">
            <v>3594.5910000000003</v>
          </cell>
          <cell r="K22">
            <v>2614.248</v>
          </cell>
          <cell r="L22">
            <v>3267.81</v>
          </cell>
          <cell r="M22">
            <v>2941.029</v>
          </cell>
          <cell r="N22">
            <v>16897.0975</v>
          </cell>
          <cell r="P22">
            <v>1375</v>
          </cell>
          <cell r="Q22">
            <v>15522.0975</v>
          </cell>
          <cell r="R22">
            <v>16897.0975</v>
          </cell>
        </row>
        <row r="23">
          <cell r="A23" t="str">
            <v>Student Revs Full</v>
          </cell>
          <cell r="B23">
            <v>0</v>
          </cell>
          <cell r="C23">
            <v>300</v>
          </cell>
          <cell r="D23">
            <v>800</v>
          </cell>
          <cell r="E23">
            <v>5025</v>
          </cell>
          <cell r="F23">
            <v>5000</v>
          </cell>
          <cell r="G23">
            <v>5000</v>
          </cell>
          <cell r="H23">
            <v>5000</v>
          </cell>
          <cell r="I23">
            <v>4574.9340000000002</v>
          </cell>
          <cell r="J23">
            <v>5297.2920000000004</v>
          </cell>
          <cell r="K23">
            <v>3852.576</v>
          </cell>
          <cell r="L23">
            <v>4815.7</v>
          </cell>
          <cell r="M23">
            <v>4334.1480000000001</v>
          </cell>
          <cell r="N23">
            <v>43999.65</v>
          </cell>
          <cell r="P23">
            <v>21125</v>
          </cell>
          <cell r="Q23">
            <v>22874.65</v>
          </cell>
          <cell r="R23">
            <v>43999.65</v>
          </cell>
        </row>
        <row r="24">
          <cell r="A24" t="str">
            <v>Total Earned Food Service</v>
          </cell>
          <cell r="B24">
            <v>0</v>
          </cell>
          <cell r="C24">
            <v>7875</v>
          </cell>
          <cell r="D24">
            <v>16800</v>
          </cell>
          <cell r="E24">
            <v>57825</v>
          </cell>
          <cell r="F24">
            <v>25228</v>
          </cell>
          <cell r="G24">
            <v>35000</v>
          </cell>
          <cell r="H24">
            <v>35000</v>
          </cell>
          <cell r="I24">
            <v>38704.322</v>
          </cell>
          <cell r="J24">
            <v>41657.635999999999</v>
          </cell>
          <cell r="K24">
            <v>35751.008000000002</v>
          </cell>
          <cell r="L24">
            <v>39688.74</v>
          </cell>
          <cell r="M24">
            <v>37719.883999999998</v>
          </cell>
          <cell r="N24">
            <v>371249.58999999997</v>
          </cell>
          <cell r="P24">
            <v>177728</v>
          </cell>
          <cell r="Q24">
            <v>193521.59</v>
          </cell>
          <cell r="R24">
            <v>371249.59</v>
          </cell>
        </row>
        <row r="26">
          <cell r="A26" t="str">
            <v>Total Revenues</v>
          </cell>
          <cell r="B26">
            <v>353511</v>
          </cell>
          <cell r="C26">
            <v>361386</v>
          </cell>
          <cell r="D26">
            <v>243429</v>
          </cell>
          <cell r="E26">
            <v>333243</v>
          </cell>
          <cell r="F26">
            <v>326662.65999999997</v>
          </cell>
          <cell r="G26">
            <v>340266.16</v>
          </cell>
          <cell r="H26">
            <v>335796</v>
          </cell>
          <cell r="I26">
            <v>339500.32199999999</v>
          </cell>
          <cell r="J26">
            <v>342453.636</v>
          </cell>
          <cell r="K26">
            <v>341547.00800000003</v>
          </cell>
          <cell r="L26">
            <v>340484.74</v>
          </cell>
          <cell r="M26">
            <v>363515.88400000002</v>
          </cell>
          <cell r="N26">
            <v>4021795.41</v>
          </cell>
          <cell r="P26">
            <v>2294293.8199999998</v>
          </cell>
          <cell r="Q26">
            <v>1727501.59</v>
          </cell>
          <cell r="R26">
            <v>4021795.4099999997</v>
          </cell>
        </row>
        <row r="29">
          <cell r="A29" t="str">
            <v>Salaried Personnel</v>
          </cell>
        </row>
        <row r="30">
          <cell r="A30" t="str">
            <v>School Leadership</v>
          </cell>
          <cell r="B30">
            <v>19502</v>
          </cell>
          <cell r="C30">
            <v>13213</v>
          </cell>
          <cell r="D30">
            <v>14486</v>
          </cell>
          <cell r="E30">
            <v>27604</v>
          </cell>
          <cell r="F30">
            <v>18205</v>
          </cell>
          <cell r="G30">
            <v>2008</v>
          </cell>
          <cell r="H30">
            <v>17757</v>
          </cell>
          <cell r="I30">
            <v>14040</v>
          </cell>
          <cell r="J30">
            <v>14040</v>
          </cell>
          <cell r="K30">
            <v>14040</v>
          </cell>
          <cell r="L30">
            <v>14040</v>
          </cell>
          <cell r="M30">
            <v>14040</v>
          </cell>
          <cell r="N30">
            <v>182975</v>
          </cell>
          <cell r="P30">
            <v>112775</v>
          </cell>
          <cell r="Q30">
            <v>70200</v>
          </cell>
          <cell r="R30">
            <v>182975</v>
          </cell>
        </row>
        <row r="31">
          <cell r="A31" t="str">
            <v>Teacher Salaries - Reg. Educ.</v>
          </cell>
          <cell r="B31">
            <v>53631</v>
          </cell>
          <cell r="C31">
            <v>82104</v>
          </cell>
          <cell r="D31">
            <v>80997</v>
          </cell>
          <cell r="E31">
            <v>81231</v>
          </cell>
          <cell r="F31">
            <v>74034</v>
          </cell>
          <cell r="G31">
            <v>61504</v>
          </cell>
          <cell r="H31">
            <v>103922</v>
          </cell>
          <cell r="I31">
            <v>76180</v>
          </cell>
          <cell r="J31">
            <v>76180</v>
          </cell>
          <cell r="K31">
            <v>76180</v>
          </cell>
          <cell r="L31">
            <v>76180</v>
          </cell>
          <cell r="M31">
            <v>76180</v>
          </cell>
          <cell r="N31">
            <v>918323</v>
          </cell>
          <cell r="P31">
            <v>537423</v>
          </cell>
          <cell r="Q31">
            <v>380900</v>
          </cell>
          <cell r="R31">
            <v>918323</v>
          </cell>
        </row>
        <row r="32">
          <cell r="A32" t="str">
            <v>Teacher Salaries - SPED</v>
          </cell>
          <cell r="B32">
            <v>2500</v>
          </cell>
          <cell r="C32">
            <v>4356</v>
          </cell>
          <cell r="D32">
            <v>6248</v>
          </cell>
          <cell r="E32">
            <v>3271</v>
          </cell>
          <cell r="F32">
            <v>4625</v>
          </cell>
          <cell r="G32">
            <v>3375</v>
          </cell>
          <cell r="H32">
            <v>5958</v>
          </cell>
          <cell r="I32">
            <v>2773.3333333333335</v>
          </cell>
          <cell r="J32">
            <v>2773.3333333333335</v>
          </cell>
          <cell r="K32">
            <v>2773.3333333333335</v>
          </cell>
          <cell r="L32">
            <v>2773.3333333333335</v>
          </cell>
          <cell r="M32">
            <v>2773.3333333333335</v>
          </cell>
          <cell r="N32">
            <v>44199.666666666672</v>
          </cell>
          <cell r="P32">
            <v>30333</v>
          </cell>
          <cell r="Q32">
            <v>13866.666666666668</v>
          </cell>
          <cell r="R32">
            <v>44199.666666666672</v>
          </cell>
        </row>
        <row r="33">
          <cell r="A33" t="str">
            <v>Specialty Teachers</v>
          </cell>
          <cell r="B33">
            <v>8542</v>
          </cell>
          <cell r="C33">
            <v>5355</v>
          </cell>
          <cell r="D33">
            <v>5270</v>
          </cell>
          <cell r="E33">
            <v>12843</v>
          </cell>
          <cell r="F33">
            <v>5605</v>
          </cell>
          <cell r="G33">
            <v>5604</v>
          </cell>
          <cell r="H33">
            <v>6876</v>
          </cell>
          <cell r="I33">
            <v>10400</v>
          </cell>
          <cell r="J33">
            <v>10400</v>
          </cell>
          <cell r="K33">
            <v>10400</v>
          </cell>
          <cell r="L33">
            <v>10400</v>
          </cell>
          <cell r="M33">
            <v>10400</v>
          </cell>
          <cell r="N33">
            <v>102095</v>
          </cell>
          <cell r="P33">
            <v>50095</v>
          </cell>
          <cell r="Q33">
            <v>52000</v>
          </cell>
          <cell r="R33">
            <v>102095</v>
          </cell>
        </row>
        <row r="34">
          <cell r="A34" t="str">
            <v xml:space="preserve">Technology Staff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Instructional Asst.</v>
          </cell>
          <cell r="B35">
            <v>13635</v>
          </cell>
          <cell r="C35">
            <v>21770</v>
          </cell>
          <cell r="D35">
            <v>24174</v>
          </cell>
          <cell r="E35">
            <v>26478</v>
          </cell>
          <cell r="F35">
            <v>24129</v>
          </cell>
          <cell r="G35">
            <v>24694</v>
          </cell>
          <cell r="H35">
            <v>29688</v>
          </cell>
          <cell r="I35">
            <v>20000</v>
          </cell>
          <cell r="J35">
            <v>20000</v>
          </cell>
          <cell r="K35">
            <v>20000</v>
          </cell>
          <cell r="L35">
            <v>20000</v>
          </cell>
          <cell r="M35">
            <v>20000</v>
          </cell>
          <cell r="N35">
            <v>264568</v>
          </cell>
          <cell r="P35">
            <v>164568</v>
          </cell>
          <cell r="Q35">
            <v>100000</v>
          </cell>
          <cell r="R35">
            <v>264568</v>
          </cell>
        </row>
        <row r="36">
          <cell r="A36" t="str">
            <v>Health &amp; Guidance</v>
          </cell>
          <cell r="B36">
            <v>1260</v>
          </cell>
          <cell r="C36">
            <v>1360</v>
          </cell>
          <cell r="D36">
            <v>1825</v>
          </cell>
          <cell r="E36">
            <v>2116</v>
          </cell>
          <cell r="F36">
            <v>1941</v>
          </cell>
          <cell r="G36">
            <v>2242</v>
          </cell>
          <cell r="H36">
            <v>1941</v>
          </cell>
          <cell r="I36">
            <v>2600</v>
          </cell>
          <cell r="J36">
            <v>2600</v>
          </cell>
          <cell r="K36">
            <v>2600</v>
          </cell>
          <cell r="L36">
            <v>2600</v>
          </cell>
          <cell r="M36">
            <v>2600</v>
          </cell>
          <cell r="N36">
            <v>25685</v>
          </cell>
          <cell r="P36">
            <v>12685</v>
          </cell>
          <cell r="Q36">
            <v>13000</v>
          </cell>
          <cell r="R36">
            <v>25685</v>
          </cell>
        </row>
        <row r="37">
          <cell r="A37" t="str">
            <v>Librarian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2127</v>
          </cell>
          <cell r="G37">
            <v>2034</v>
          </cell>
          <cell r="H37">
            <v>2033</v>
          </cell>
          <cell r="I37">
            <v>2253.3333333333335</v>
          </cell>
          <cell r="J37">
            <v>2253.3333333333335</v>
          </cell>
          <cell r="K37">
            <v>2253.3333333333335</v>
          </cell>
          <cell r="L37">
            <v>2253.3333333333335</v>
          </cell>
          <cell r="M37">
            <v>2253.3333333333335</v>
          </cell>
          <cell r="N37">
            <v>17460.666666666668</v>
          </cell>
          <cell r="P37">
            <v>6194</v>
          </cell>
          <cell r="Q37">
            <v>11266.666666666668</v>
          </cell>
          <cell r="R37">
            <v>17460.666666666668</v>
          </cell>
        </row>
        <row r="38">
          <cell r="A38" t="str">
            <v>Total Salaries</v>
          </cell>
          <cell r="B38">
            <v>99070</v>
          </cell>
          <cell r="C38">
            <v>128158</v>
          </cell>
          <cell r="D38">
            <v>133000</v>
          </cell>
          <cell r="E38">
            <v>153543</v>
          </cell>
          <cell r="F38">
            <v>130666</v>
          </cell>
          <cell r="G38">
            <v>101461</v>
          </cell>
          <cell r="H38">
            <v>168175</v>
          </cell>
          <cell r="I38">
            <v>128246.66666666666</v>
          </cell>
          <cell r="J38">
            <v>128246.66666666666</v>
          </cell>
          <cell r="K38">
            <v>128246.66666666666</v>
          </cell>
          <cell r="L38">
            <v>128246.66666666666</v>
          </cell>
          <cell r="M38">
            <v>128246.66666666666</v>
          </cell>
          <cell r="N38">
            <v>1555306.3333333333</v>
          </cell>
          <cell r="P38">
            <v>914073</v>
          </cell>
          <cell r="Q38">
            <v>641233.33333333337</v>
          </cell>
          <cell r="R38">
            <v>1555306.3333333335</v>
          </cell>
        </row>
        <row r="40">
          <cell r="A40" t="str">
            <v>Hourly Wage Personnel</v>
          </cell>
        </row>
        <row r="41">
          <cell r="A41" t="str">
            <v>Administrative Staff</v>
          </cell>
          <cell r="B41">
            <v>4134</v>
          </cell>
          <cell r="C41">
            <v>4034</v>
          </cell>
          <cell r="D41">
            <v>3543</v>
          </cell>
          <cell r="E41">
            <v>7399</v>
          </cell>
          <cell r="F41">
            <v>3777</v>
          </cell>
          <cell r="G41">
            <v>4104</v>
          </cell>
          <cell r="H41">
            <v>7036</v>
          </cell>
          <cell r="I41">
            <v>7036</v>
          </cell>
          <cell r="J41">
            <v>7036</v>
          </cell>
          <cell r="K41">
            <v>7036</v>
          </cell>
          <cell r="L41">
            <v>7036</v>
          </cell>
          <cell r="M41">
            <v>7036</v>
          </cell>
          <cell r="N41">
            <v>69207</v>
          </cell>
          <cell r="P41">
            <v>34027</v>
          </cell>
          <cell r="Q41">
            <v>35180</v>
          </cell>
          <cell r="R41">
            <v>69207</v>
          </cell>
        </row>
        <row r="42">
          <cell r="A42" t="str">
            <v>Custodial Staff</v>
          </cell>
          <cell r="B42">
            <v>1500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750</v>
          </cell>
          <cell r="I42">
            <v>1560</v>
          </cell>
          <cell r="J42">
            <v>1560</v>
          </cell>
          <cell r="K42">
            <v>1560</v>
          </cell>
          <cell r="L42">
            <v>1560</v>
          </cell>
          <cell r="M42">
            <v>1560</v>
          </cell>
          <cell r="N42">
            <v>10050</v>
          </cell>
          <cell r="P42">
            <v>2250</v>
          </cell>
          <cell r="Q42">
            <v>7800</v>
          </cell>
          <cell r="R42">
            <v>10050</v>
          </cell>
        </row>
        <row r="43">
          <cell r="A43" t="str">
            <v>Food Service Staff</v>
          </cell>
          <cell r="B43">
            <v>536</v>
          </cell>
          <cell r="C43">
            <v>891</v>
          </cell>
          <cell r="D43">
            <v>1775</v>
          </cell>
          <cell r="E43">
            <v>3149</v>
          </cell>
          <cell r="F43">
            <v>5293</v>
          </cell>
          <cell r="G43">
            <v>1915</v>
          </cell>
          <cell r="H43">
            <v>3739</v>
          </cell>
          <cell r="I43">
            <v>2080</v>
          </cell>
          <cell r="J43">
            <v>2080</v>
          </cell>
          <cell r="K43">
            <v>2080</v>
          </cell>
          <cell r="L43">
            <v>2080</v>
          </cell>
          <cell r="M43">
            <v>2080</v>
          </cell>
          <cell r="N43">
            <v>27698</v>
          </cell>
          <cell r="P43">
            <v>17298</v>
          </cell>
          <cell r="Q43">
            <v>10400</v>
          </cell>
          <cell r="R43">
            <v>27698</v>
          </cell>
        </row>
        <row r="44">
          <cell r="A44" t="str">
            <v>Other School Staff</v>
          </cell>
          <cell r="B44">
            <v>2000</v>
          </cell>
          <cell r="C44">
            <v>3880</v>
          </cell>
          <cell r="D44">
            <v>22447</v>
          </cell>
          <cell r="E44">
            <v>2918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31245</v>
          </cell>
          <cell r="P44">
            <v>31245</v>
          </cell>
          <cell r="Q44">
            <v>0</v>
          </cell>
          <cell r="R44">
            <v>31245</v>
          </cell>
        </row>
        <row r="45">
          <cell r="A45" t="str">
            <v>Temporary Staff</v>
          </cell>
          <cell r="B45">
            <v>2480</v>
          </cell>
          <cell r="C45">
            <v>4148</v>
          </cell>
          <cell r="D45">
            <v>10033</v>
          </cell>
          <cell r="E45">
            <v>4890</v>
          </cell>
          <cell r="F45">
            <v>8320</v>
          </cell>
          <cell r="G45">
            <v>4700</v>
          </cell>
          <cell r="H45">
            <v>4519</v>
          </cell>
          <cell r="I45">
            <v>1050</v>
          </cell>
          <cell r="J45">
            <v>1050</v>
          </cell>
          <cell r="K45">
            <v>1050</v>
          </cell>
          <cell r="L45">
            <v>1050</v>
          </cell>
          <cell r="M45">
            <v>1050</v>
          </cell>
          <cell r="N45">
            <v>44340</v>
          </cell>
          <cell r="P45">
            <v>39090</v>
          </cell>
          <cell r="Q45">
            <v>5250</v>
          </cell>
          <cell r="R45">
            <v>44340</v>
          </cell>
        </row>
        <row r="46">
          <cell r="A46" t="str">
            <v>Total Hourly Wages</v>
          </cell>
          <cell r="B46">
            <v>10650</v>
          </cell>
          <cell r="C46">
            <v>12953</v>
          </cell>
          <cell r="D46">
            <v>37798</v>
          </cell>
          <cell r="E46">
            <v>18356</v>
          </cell>
          <cell r="F46">
            <v>17390</v>
          </cell>
          <cell r="G46">
            <v>10719</v>
          </cell>
          <cell r="H46">
            <v>16044</v>
          </cell>
          <cell r="I46">
            <v>11726</v>
          </cell>
          <cell r="J46">
            <v>11726</v>
          </cell>
          <cell r="K46">
            <v>11726</v>
          </cell>
          <cell r="L46">
            <v>11726</v>
          </cell>
          <cell r="M46">
            <v>11726</v>
          </cell>
          <cell r="N46">
            <v>182540</v>
          </cell>
          <cell r="P46">
            <v>123910</v>
          </cell>
          <cell r="Q46">
            <v>58630</v>
          </cell>
          <cell r="R46">
            <v>182540</v>
          </cell>
        </row>
        <row r="48">
          <cell r="A48" t="str">
            <v>Taxes &amp; Benefits</v>
          </cell>
        </row>
        <row r="49">
          <cell r="A49" t="str">
            <v>Group Insurance &amp; Other</v>
          </cell>
          <cell r="B49">
            <v>335</v>
          </cell>
          <cell r="C49">
            <v>11091</v>
          </cell>
          <cell r="D49">
            <v>13335</v>
          </cell>
          <cell r="E49">
            <v>13539</v>
          </cell>
          <cell r="F49">
            <v>32083</v>
          </cell>
          <cell r="G49">
            <v>50163</v>
          </cell>
          <cell r="H49">
            <v>22933</v>
          </cell>
          <cell r="I49">
            <v>19878.233333333334</v>
          </cell>
          <cell r="J49">
            <v>19878.233333333334</v>
          </cell>
          <cell r="K49">
            <v>19878.233333333334</v>
          </cell>
          <cell r="L49">
            <v>29878.233333333301</v>
          </cell>
          <cell r="M49">
            <v>29878.233333333301</v>
          </cell>
          <cell r="N49">
            <v>262870.16666666663</v>
          </cell>
          <cell r="P49">
            <v>143479</v>
          </cell>
          <cell r="Q49">
            <v>119391.1666666666</v>
          </cell>
          <cell r="R49">
            <v>262870.16666666663</v>
          </cell>
        </row>
        <row r="50">
          <cell r="A50" t="str">
            <v>Worker's Compensation</v>
          </cell>
          <cell r="B50">
            <v>518</v>
          </cell>
          <cell r="C50">
            <v>518</v>
          </cell>
          <cell r="D50">
            <v>518</v>
          </cell>
          <cell r="E50">
            <v>-733</v>
          </cell>
          <cell r="F50">
            <v>204</v>
          </cell>
          <cell r="G50">
            <v>203</v>
          </cell>
          <cell r="H50">
            <v>-641</v>
          </cell>
          <cell r="I50">
            <v>686.7833333333333</v>
          </cell>
          <cell r="J50">
            <v>686.7833333333333</v>
          </cell>
          <cell r="K50">
            <v>686.7833333333333</v>
          </cell>
          <cell r="L50">
            <v>686.7833333333333</v>
          </cell>
          <cell r="M50">
            <v>686.7833333333333</v>
          </cell>
          <cell r="N50">
            <v>4020.9166666666665</v>
          </cell>
          <cell r="P50">
            <v>587</v>
          </cell>
          <cell r="Q50">
            <v>3433.9166666666665</v>
          </cell>
          <cell r="R50">
            <v>4020.9166666666665</v>
          </cell>
        </row>
        <row r="51">
          <cell r="A51" t="str">
            <v>Payroll Taxes</v>
          </cell>
          <cell r="B51">
            <v>8377</v>
          </cell>
          <cell r="C51">
            <v>13014</v>
          </cell>
          <cell r="D51">
            <v>15481</v>
          </cell>
          <cell r="E51">
            <v>13449</v>
          </cell>
          <cell r="F51">
            <v>12419</v>
          </cell>
          <cell r="G51">
            <v>5341</v>
          </cell>
          <cell r="H51">
            <v>18774</v>
          </cell>
          <cell r="I51">
            <v>10782.498333333331</v>
          </cell>
          <cell r="J51">
            <v>10782.498333333331</v>
          </cell>
          <cell r="K51">
            <v>10782.498333333331</v>
          </cell>
          <cell r="L51">
            <v>10782.498333333331</v>
          </cell>
          <cell r="M51">
            <v>10782.498333333331</v>
          </cell>
          <cell r="N51">
            <v>140767.49166666664</v>
          </cell>
          <cell r="P51">
            <v>86855</v>
          </cell>
          <cell r="Q51">
            <v>53912.491666666654</v>
          </cell>
          <cell r="R51">
            <v>140767.49166666664</v>
          </cell>
        </row>
        <row r="52">
          <cell r="A52" t="str">
            <v>Total Taxes &amp; Benefits</v>
          </cell>
          <cell r="B52">
            <v>9230</v>
          </cell>
          <cell r="C52">
            <v>24623</v>
          </cell>
          <cell r="D52">
            <v>29334</v>
          </cell>
          <cell r="E52">
            <v>26255</v>
          </cell>
          <cell r="F52">
            <v>44706</v>
          </cell>
          <cell r="G52">
            <v>55707</v>
          </cell>
          <cell r="H52">
            <v>41066</v>
          </cell>
          <cell r="I52">
            <v>31347.514999999999</v>
          </cell>
          <cell r="J52">
            <v>31347.514999999999</v>
          </cell>
          <cell r="K52">
            <v>31347.514999999999</v>
          </cell>
          <cell r="L52">
            <v>41347.514999999963</v>
          </cell>
          <cell r="M52">
            <v>41347.514999999963</v>
          </cell>
          <cell r="N52">
            <v>407658.57499999995</v>
          </cell>
          <cell r="P52">
            <v>230921</v>
          </cell>
          <cell r="Q52">
            <v>176737.57499999992</v>
          </cell>
          <cell r="R52">
            <v>407658.57499999995</v>
          </cell>
        </row>
        <row r="54">
          <cell r="A54" t="str">
            <v>Contracted SPED - Instruction</v>
          </cell>
          <cell r="B54">
            <v>0</v>
          </cell>
          <cell r="C54">
            <v>0</v>
          </cell>
          <cell r="D54">
            <v>0</v>
          </cell>
          <cell r="E54">
            <v>15397</v>
          </cell>
          <cell r="F54">
            <v>0</v>
          </cell>
          <cell r="G54">
            <v>0</v>
          </cell>
          <cell r="H54">
            <v>0</v>
          </cell>
          <cell r="I54">
            <v>2730</v>
          </cell>
          <cell r="J54">
            <v>2730</v>
          </cell>
          <cell r="K54">
            <v>2730</v>
          </cell>
          <cell r="L54">
            <v>2730</v>
          </cell>
          <cell r="M54">
            <v>2730</v>
          </cell>
          <cell r="N54">
            <v>29047</v>
          </cell>
          <cell r="P54">
            <v>15397</v>
          </cell>
          <cell r="Q54">
            <v>13650</v>
          </cell>
          <cell r="R54">
            <v>29047</v>
          </cell>
        </row>
        <row r="56">
          <cell r="A56" t="str">
            <v>Total Cost of Compensation</v>
          </cell>
          <cell r="B56">
            <v>118950</v>
          </cell>
          <cell r="C56">
            <v>165734</v>
          </cell>
          <cell r="D56">
            <v>200132</v>
          </cell>
          <cell r="E56">
            <v>213551</v>
          </cell>
          <cell r="F56">
            <v>192762</v>
          </cell>
          <cell r="G56">
            <v>167887</v>
          </cell>
          <cell r="H56">
            <v>225285</v>
          </cell>
          <cell r="I56">
            <v>174050.18166666664</v>
          </cell>
          <cell r="J56">
            <v>174050.18166666664</v>
          </cell>
          <cell r="K56">
            <v>174050.18166666664</v>
          </cell>
          <cell r="L56">
            <v>184050.18166666661</v>
          </cell>
          <cell r="M56">
            <v>184050.18166666661</v>
          </cell>
          <cell r="N56">
            <v>2174551.9083333332</v>
          </cell>
          <cell r="P56">
            <v>1284301</v>
          </cell>
          <cell r="Q56">
            <v>890250.90833333333</v>
          </cell>
          <cell r="R56">
            <v>2174551.9083333332</v>
          </cell>
        </row>
        <row r="58">
          <cell r="A58" t="str">
            <v>Revenues Less Total Compensation</v>
          </cell>
          <cell r="B58">
            <v>234561</v>
          </cell>
          <cell r="C58">
            <v>195652</v>
          </cell>
          <cell r="D58">
            <v>43297</v>
          </cell>
          <cell r="E58">
            <v>119692</v>
          </cell>
          <cell r="F58">
            <v>133900.65999999997</v>
          </cell>
          <cell r="G58">
            <v>172379.15999999997</v>
          </cell>
          <cell r="H58">
            <v>110511</v>
          </cell>
          <cell r="I58">
            <v>165450.14033333334</v>
          </cell>
          <cell r="J58">
            <v>168403.45433333336</v>
          </cell>
          <cell r="K58">
            <v>167496.82633333339</v>
          </cell>
          <cell r="L58">
            <v>156434.55833333338</v>
          </cell>
          <cell r="M58">
            <v>179465.70233333341</v>
          </cell>
          <cell r="N58">
            <v>1847243.5016666667</v>
          </cell>
          <cell r="P58">
            <v>1009992.8199999998</v>
          </cell>
          <cell r="Q58">
            <v>837250.68166666676</v>
          </cell>
          <cell r="R58">
            <v>1847243.5016666665</v>
          </cell>
        </row>
        <row r="60">
          <cell r="A60" t="str">
            <v>Professional Services</v>
          </cell>
        </row>
        <row r="61">
          <cell r="A61" t="str">
            <v>Legal Fees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364</v>
          </cell>
          <cell r="J61">
            <v>364</v>
          </cell>
          <cell r="K61">
            <v>364</v>
          </cell>
          <cell r="L61">
            <v>364</v>
          </cell>
          <cell r="M61">
            <v>364</v>
          </cell>
          <cell r="N61">
            <v>1820</v>
          </cell>
          <cell r="P61">
            <v>0</v>
          </cell>
          <cell r="Q61">
            <v>1820</v>
          </cell>
          <cell r="R61">
            <v>1820</v>
          </cell>
        </row>
        <row r="62">
          <cell r="A62" t="str">
            <v>Accounting Services</v>
          </cell>
          <cell r="B62">
            <v>198</v>
          </cell>
          <cell r="C62">
            <v>752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409.5</v>
          </cell>
          <cell r="J62">
            <v>409.5</v>
          </cell>
          <cell r="K62">
            <v>409.5</v>
          </cell>
          <cell r="L62">
            <v>409.5</v>
          </cell>
          <cell r="M62">
            <v>409.5</v>
          </cell>
          <cell r="N62">
            <v>2997.5</v>
          </cell>
          <cell r="P62">
            <v>950</v>
          </cell>
          <cell r="Q62">
            <v>2047.5</v>
          </cell>
          <cell r="R62">
            <v>2997.5</v>
          </cell>
        </row>
        <row r="63">
          <cell r="A63" t="str">
            <v>Consulting Fees</v>
          </cell>
          <cell r="B63">
            <v>713</v>
          </cell>
          <cell r="C63">
            <v>8937</v>
          </cell>
          <cell r="D63">
            <v>2723</v>
          </cell>
          <cell r="E63">
            <v>-12373</v>
          </cell>
          <cell r="F63">
            <v>480</v>
          </cell>
          <cell r="G63">
            <v>0</v>
          </cell>
          <cell r="H63">
            <v>4713</v>
          </cell>
          <cell r="I63">
            <v>1820</v>
          </cell>
          <cell r="J63">
            <v>1820</v>
          </cell>
          <cell r="K63">
            <v>1820</v>
          </cell>
          <cell r="L63">
            <v>1820</v>
          </cell>
          <cell r="M63">
            <v>1820</v>
          </cell>
          <cell r="N63">
            <v>14293</v>
          </cell>
          <cell r="P63">
            <v>5193</v>
          </cell>
          <cell r="Q63">
            <v>9100</v>
          </cell>
          <cell r="R63">
            <v>14293</v>
          </cell>
        </row>
        <row r="64">
          <cell r="A64" t="str">
            <v>Bank Service Fees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136.5</v>
          </cell>
          <cell r="J64">
            <v>136.5</v>
          </cell>
          <cell r="K64">
            <v>136.5</v>
          </cell>
          <cell r="L64">
            <v>136.5</v>
          </cell>
          <cell r="M64">
            <v>136.5</v>
          </cell>
          <cell r="N64">
            <v>682.5</v>
          </cell>
          <cell r="P64">
            <v>0</v>
          </cell>
          <cell r="Q64">
            <v>682.5</v>
          </cell>
          <cell r="R64">
            <v>682.5</v>
          </cell>
        </row>
        <row r="65">
          <cell r="A65" t="str">
            <v>Computer Service Fees</v>
          </cell>
          <cell r="B65">
            <v>482</v>
          </cell>
          <cell r="C65">
            <v>482</v>
          </cell>
          <cell r="D65">
            <v>482</v>
          </cell>
          <cell r="E65">
            <v>0</v>
          </cell>
          <cell r="F65">
            <v>0</v>
          </cell>
          <cell r="G65">
            <v>965</v>
          </cell>
          <cell r="H65">
            <v>1703</v>
          </cell>
          <cell r="I65">
            <v>750</v>
          </cell>
          <cell r="J65">
            <v>750</v>
          </cell>
          <cell r="K65">
            <v>750</v>
          </cell>
          <cell r="L65">
            <v>750</v>
          </cell>
          <cell r="M65">
            <v>750</v>
          </cell>
          <cell r="N65">
            <v>7864</v>
          </cell>
          <cell r="P65">
            <v>4114</v>
          </cell>
          <cell r="Q65">
            <v>3750</v>
          </cell>
          <cell r="R65">
            <v>7864</v>
          </cell>
        </row>
        <row r="66">
          <cell r="A66" t="str">
            <v>Temporary Agency Fees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Recruiting Fees</v>
          </cell>
          <cell r="B67">
            <v>0</v>
          </cell>
          <cell r="C67">
            <v>779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1820</v>
          </cell>
          <cell r="L67">
            <v>1820</v>
          </cell>
          <cell r="M67">
            <v>1820</v>
          </cell>
          <cell r="N67">
            <v>6239</v>
          </cell>
          <cell r="P67">
            <v>779</v>
          </cell>
          <cell r="Q67">
            <v>5460</v>
          </cell>
          <cell r="R67">
            <v>6239</v>
          </cell>
        </row>
        <row r="68">
          <cell r="A68" t="str">
            <v>School Management Fees</v>
          </cell>
          <cell r="B68">
            <v>58283</v>
          </cell>
          <cell r="C68">
            <v>63568</v>
          </cell>
          <cell r="D68">
            <v>83551</v>
          </cell>
          <cell r="E68">
            <v>73313</v>
          </cell>
          <cell r="F68">
            <v>71865</v>
          </cell>
          <cell r="G68">
            <v>74859</v>
          </cell>
          <cell r="H68">
            <v>73875</v>
          </cell>
          <cell r="I68">
            <v>74690.07084</v>
          </cell>
          <cell r="J68">
            <v>75339.799920000005</v>
          </cell>
          <cell r="K68">
            <v>75140.34176000001</v>
          </cell>
          <cell r="L68">
            <v>74906.642800000001</v>
          </cell>
          <cell r="M68">
            <v>79973.494480000008</v>
          </cell>
          <cell r="N68">
            <v>879364.34979999997</v>
          </cell>
          <cell r="P68">
            <v>499314</v>
          </cell>
          <cell r="Q68">
            <v>380050.34980000003</v>
          </cell>
          <cell r="R68">
            <v>879364.34979999997</v>
          </cell>
        </row>
        <row r="69">
          <cell r="A69" t="str">
            <v xml:space="preserve">Marketing &amp; Enrollment Fees 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300</v>
          </cell>
          <cell r="L69">
            <v>300</v>
          </cell>
          <cell r="M69">
            <v>300</v>
          </cell>
          <cell r="N69">
            <v>900</v>
          </cell>
          <cell r="P69">
            <v>0</v>
          </cell>
          <cell r="Q69">
            <v>900</v>
          </cell>
          <cell r="R69">
            <v>900</v>
          </cell>
        </row>
        <row r="70">
          <cell r="A70" t="str">
            <v>Local Advertising Fund</v>
          </cell>
          <cell r="B70">
            <v>1479</v>
          </cell>
          <cell r="C70">
            <v>304</v>
          </cell>
          <cell r="D70">
            <v>0</v>
          </cell>
          <cell r="E70">
            <v>0</v>
          </cell>
          <cell r="F70">
            <v>90</v>
          </cell>
          <cell r="G70">
            <v>-290</v>
          </cell>
          <cell r="H70">
            <v>-265</v>
          </cell>
          <cell r="I70">
            <v>0</v>
          </cell>
          <cell r="J70">
            <v>0</v>
          </cell>
          <cell r="K70">
            <v>500</v>
          </cell>
          <cell r="L70">
            <v>1000</v>
          </cell>
          <cell r="M70">
            <v>3500</v>
          </cell>
          <cell r="N70">
            <v>6318</v>
          </cell>
          <cell r="P70">
            <v>1318</v>
          </cell>
          <cell r="Q70">
            <v>5000</v>
          </cell>
          <cell r="R70">
            <v>6318</v>
          </cell>
        </row>
        <row r="71">
          <cell r="B71">
            <v>61155</v>
          </cell>
          <cell r="C71">
            <v>74822</v>
          </cell>
          <cell r="D71">
            <v>86756</v>
          </cell>
          <cell r="E71">
            <v>60940</v>
          </cell>
          <cell r="F71">
            <v>72435</v>
          </cell>
          <cell r="G71">
            <v>75534</v>
          </cell>
          <cell r="H71">
            <v>80026</v>
          </cell>
          <cell r="I71">
            <v>78170.07084</v>
          </cell>
          <cell r="J71">
            <v>78819.799920000005</v>
          </cell>
          <cell r="K71">
            <v>81240.34176000001</v>
          </cell>
          <cell r="L71">
            <v>81506.642800000001</v>
          </cell>
          <cell r="M71">
            <v>89073.494480000008</v>
          </cell>
          <cell r="N71">
            <v>920478.34979999997</v>
          </cell>
          <cell r="P71">
            <v>511668</v>
          </cell>
          <cell r="Q71">
            <v>408810.34980000003</v>
          </cell>
          <cell r="R71">
            <v>920478.34979999997</v>
          </cell>
        </row>
        <row r="73">
          <cell r="A73" t="str">
            <v>Vendor Services</v>
          </cell>
        </row>
        <row r="74">
          <cell r="A74" t="str">
            <v>Contracted Pupil Transportation</v>
          </cell>
          <cell r="B74">
            <v>244</v>
          </cell>
          <cell r="C74">
            <v>19800</v>
          </cell>
          <cell r="D74">
            <v>20146</v>
          </cell>
          <cell r="E74">
            <v>19962</v>
          </cell>
          <cell r="F74">
            <v>30909</v>
          </cell>
          <cell r="G74">
            <v>39288</v>
          </cell>
          <cell r="H74">
            <v>35989</v>
          </cell>
          <cell r="I74">
            <v>35000</v>
          </cell>
          <cell r="J74">
            <v>35000</v>
          </cell>
          <cell r="K74">
            <v>35000</v>
          </cell>
          <cell r="L74">
            <v>35000</v>
          </cell>
          <cell r="M74">
            <v>35000</v>
          </cell>
          <cell r="N74">
            <v>341338</v>
          </cell>
          <cell r="P74">
            <v>166338</v>
          </cell>
          <cell r="Q74">
            <v>175000</v>
          </cell>
          <cell r="R74">
            <v>341338</v>
          </cell>
        </row>
        <row r="75">
          <cell r="A75" t="str">
            <v>Contracted Food Service</v>
          </cell>
          <cell r="B75">
            <v>0</v>
          </cell>
          <cell r="C75">
            <v>7875</v>
          </cell>
          <cell r="D75">
            <v>13854</v>
          </cell>
          <cell r="E75">
            <v>43457</v>
          </cell>
          <cell r="F75">
            <v>27671</v>
          </cell>
          <cell r="G75">
            <v>71018</v>
          </cell>
          <cell r="H75">
            <v>44069</v>
          </cell>
          <cell r="I75">
            <v>46107.242999999995</v>
          </cell>
          <cell r="J75">
            <v>53387.333999999995</v>
          </cell>
          <cell r="K75">
            <v>38827.152000000002</v>
          </cell>
          <cell r="L75">
            <v>48533.94</v>
          </cell>
          <cell r="M75">
            <v>43680.546000000002</v>
          </cell>
          <cell r="N75">
            <v>438480.21499999997</v>
          </cell>
          <cell r="P75">
            <v>207944</v>
          </cell>
          <cell r="Q75">
            <v>230536.215</v>
          </cell>
          <cell r="R75">
            <v>438480.21499999997</v>
          </cell>
        </row>
        <row r="76">
          <cell r="A76" t="str">
            <v>Contracted SPED - Non-Instruction</v>
          </cell>
          <cell r="B76">
            <v>0</v>
          </cell>
          <cell r="C76">
            <v>0</v>
          </cell>
          <cell r="D76">
            <v>0</v>
          </cell>
          <cell r="E76">
            <v>661</v>
          </cell>
          <cell r="F76">
            <v>2183</v>
          </cell>
          <cell r="G76">
            <v>1507</v>
          </cell>
          <cell r="H76">
            <v>2595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6946</v>
          </cell>
          <cell r="P76">
            <v>6946</v>
          </cell>
          <cell r="Q76">
            <v>0</v>
          </cell>
          <cell r="R76">
            <v>6946</v>
          </cell>
        </row>
        <row r="77">
          <cell r="A77" t="str">
            <v>Contracted Custodial Services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6390</v>
          </cell>
          <cell r="H77">
            <v>0</v>
          </cell>
          <cell r="I77">
            <v>1958.6666666666667</v>
          </cell>
          <cell r="J77">
            <v>1958.6666666666667</v>
          </cell>
          <cell r="K77">
            <v>1958.6666666666667</v>
          </cell>
          <cell r="L77">
            <v>1958.6666666666667</v>
          </cell>
          <cell r="M77">
            <v>1958.6666666666667</v>
          </cell>
          <cell r="N77">
            <v>16183.333333333334</v>
          </cell>
          <cell r="P77">
            <v>6390</v>
          </cell>
          <cell r="Q77">
            <v>9793.3333333333339</v>
          </cell>
          <cell r="R77">
            <v>16183.333333333334</v>
          </cell>
        </row>
        <row r="78">
          <cell r="A78" t="str">
            <v>Contracted Maintenance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B79">
            <v>244</v>
          </cell>
          <cell r="C79">
            <v>27675</v>
          </cell>
          <cell r="D79">
            <v>34000</v>
          </cell>
          <cell r="E79">
            <v>64080</v>
          </cell>
          <cell r="F79">
            <v>60763</v>
          </cell>
          <cell r="G79">
            <v>118203</v>
          </cell>
          <cell r="H79">
            <v>82653</v>
          </cell>
          <cell r="I79">
            <v>83065.909666666659</v>
          </cell>
          <cell r="J79">
            <v>90346.000666666674</v>
          </cell>
          <cell r="K79">
            <v>75785.818666666673</v>
          </cell>
          <cell r="L79">
            <v>85492.606666666674</v>
          </cell>
          <cell r="M79">
            <v>80639.212666666674</v>
          </cell>
          <cell r="N79">
            <v>802947.54833333334</v>
          </cell>
          <cell r="P79">
            <v>387618</v>
          </cell>
          <cell r="Q79">
            <v>415329.54833333328</v>
          </cell>
          <cell r="R79">
            <v>802947.54833333334</v>
          </cell>
        </row>
        <row r="81">
          <cell r="A81" t="str">
            <v>Administrative Expenses</v>
          </cell>
        </row>
        <row r="82">
          <cell r="A82" t="str">
            <v>Travel/Auto</v>
          </cell>
          <cell r="B82">
            <v>0</v>
          </cell>
          <cell r="C82">
            <v>0</v>
          </cell>
          <cell r="D82">
            <v>581</v>
          </cell>
          <cell r="E82">
            <v>350</v>
          </cell>
          <cell r="F82">
            <v>0</v>
          </cell>
          <cell r="G82">
            <v>0</v>
          </cell>
          <cell r="H82">
            <v>1385</v>
          </cell>
          <cell r="I82">
            <v>114</v>
          </cell>
          <cell r="J82">
            <v>114</v>
          </cell>
          <cell r="K82">
            <v>114</v>
          </cell>
          <cell r="L82">
            <v>114</v>
          </cell>
          <cell r="M82">
            <v>114</v>
          </cell>
          <cell r="N82">
            <v>2886</v>
          </cell>
          <cell r="P82">
            <v>2316</v>
          </cell>
          <cell r="Q82">
            <v>570</v>
          </cell>
          <cell r="R82">
            <v>2886</v>
          </cell>
        </row>
        <row r="83">
          <cell r="A83" t="str">
            <v>Airfare</v>
          </cell>
          <cell r="B83">
            <v>0</v>
          </cell>
          <cell r="C83">
            <v>285</v>
          </cell>
          <cell r="D83">
            <v>990</v>
          </cell>
          <cell r="E83">
            <v>0</v>
          </cell>
          <cell r="F83">
            <v>0</v>
          </cell>
          <cell r="G83">
            <v>-285</v>
          </cell>
          <cell r="H83">
            <v>149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1139</v>
          </cell>
          <cell r="P83">
            <v>1139</v>
          </cell>
          <cell r="Q83">
            <v>0</v>
          </cell>
          <cell r="R83">
            <v>1139</v>
          </cell>
        </row>
        <row r="84">
          <cell r="A84" t="str">
            <v>Meals</v>
          </cell>
          <cell r="B84">
            <v>0</v>
          </cell>
          <cell r="C84">
            <v>80</v>
          </cell>
          <cell r="D84">
            <v>277</v>
          </cell>
          <cell r="E84">
            <v>0</v>
          </cell>
          <cell r="F84">
            <v>0</v>
          </cell>
          <cell r="G84">
            <v>0</v>
          </cell>
          <cell r="H84">
            <v>72</v>
          </cell>
          <cell r="I84">
            <v>85.5</v>
          </cell>
          <cell r="J84">
            <v>85.5</v>
          </cell>
          <cell r="K84">
            <v>85.5</v>
          </cell>
          <cell r="L84">
            <v>85.5</v>
          </cell>
          <cell r="M84">
            <v>85.5</v>
          </cell>
          <cell r="N84">
            <v>856.5</v>
          </cell>
          <cell r="P84">
            <v>429</v>
          </cell>
          <cell r="Q84">
            <v>427.5</v>
          </cell>
          <cell r="R84">
            <v>856.5</v>
          </cell>
        </row>
        <row r="85">
          <cell r="A85" t="str">
            <v>Lodging</v>
          </cell>
          <cell r="B85">
            <v>0</v>
          </cell>
          <cell r="C85">
            <v>0</v>
          </cell>
          <cell r="D85">
            <v>698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142.5</v>
          </cell>
          <cell r="J85">
            <v>142.5</v>
          </cell>
          <cell r="K85">
            <v>142.5</v>
          </cell>
          <cell r="L85">
            <v>142.5</v>
          </cell>
          <cell r="M85">
            <v>142.5</v>
          </cell>
          <cell r="N85">
            <v>1410.5</v>
          </cell>
          <cell r="P85">
            <v>698</v>
          </cell>
          <cell r="Q85">
            <v>712.5</v>
          </cell>
          <cell r="R85">
            <v>1410.5</v>
          </cell>
        </row>
        <row r="86">
          <cell r="A86" t="str">
            <v>Business Expense - Other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Dues &amp; Subscriptions</v>
          </cell>
          <cell r="B87">
            <v>0</v>
          </cell>
          <cell r="C87">
            <v>0</v>
          </cell>
          <cell r="D87">
            <v>32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114</v>
          </cell>
          <cell r="J87">
            <v>114</v>
          </cell>
          <cell r="K87">
            <v>114</v>
          </cell>
          <cell r="L87">
            <v>114</v>
          </cell>
          <cell r="M87">
            <v>114</v>
          </cell>
          <cell r="N87">
            <v>602</v>
          </cell>
          <cell r="P87">
            <v>32</v>
          </cell>
          <cell r="Q87">
            <v>570</v>
          </cell>
          <cell r="R87">
            <v>602</v>
          </cell>
        </row>
        <row r="88">
          <cell r="A88" t="str">
            <v>Printing</v>
          </cell>
          <cell r="B88">
            <v>2315</v>
          </cell>
          <cell r="C88">
            <v>170</v>
          </cell>
          <cell r="D88">
            <v>0</v>
          </cell>
          <cell r="E88">
            <v>1349</v>
          </cell>
          <cell r="F88">
            <v>0</v>
          </cell>
          <cell r="G88">
            <v>0</v>
          </cell>
          <cell r="H88">
            <v>0</v>
          </cell>
          <cell r="I88">
            <v>1228.5</v>
          </cell>
          <cell r="J88">
            <v>1228.5</v>
          </cell>
          <cell r="K88">
            <v>1228.5</v>
          </cell>
          <cell r="L88">
            <v>1228.5</v>
          </cell>
          <cell r="M88">
            <v>1228.5</v>
          </cell>
          <cell r="N88">
            <v>9976.5</v>
          </cell>
          <cell r="P88">
            <v>3834</v>
          </cell>
          <cell r="Q88">
            <v>6142.5</v>
          </cell>
          <cell r="R88">
            <v>9976.5</v>
          </cell>
        </row>
        <row r="89">
          <cell r="A89" t="str">
            <v>Office Supplies</v>
          </cell>
          <cell r="B89">
            <v>1862</v>
          </cell>
          <cell r="C89">
            <v>2075</v>
          </cell>
          <cell r="D89">
            <v>4898</v>
          </cell>
          <cell r="E89">
            <v>7594</v>
          </cell>
          <cell r="F89">
            <v>1500</v>
          </cell>
          <cell r="G89">
            <v>9193</v>
          </cell>
          <cell r="H89">
            <v>723</v>
          </cell>
          <cell r="I89">
            <v>1456</v>
          </cell>
          <cell r="J89">
            <v>1456</v>
          </cell>
          <cell r="K89">
            <v>1456</v>
          </cell>
          <cell r="L89">
            <v>1456</v>
          </cell>
          <cell r="M89">
            <v>1456</v>
          </cell>
          <cell r="N89">
            <v>35125</v>
          </cell>
          <cell r="P89">
            <v>27845</v>
          </cell>
          <cell r="Q89">
            <v>7280</v>
          </cell>
          <cell r="R89">
            <v>35125</v>
          </cell>
        </row>
        <row r="90">
          <cell r="A90" t="str">
            <v>In-house Food Service - Cost of Food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Food Service - Paper and Smallwares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A92" t="str">
            <v>Medical Supplies</v>
          </cell>
          <cell r="B92">
            <v>0</v>
          </cell>
          <cell r="C92">
            <v>0</v>
          </cell>
          <cell r="D92">
            <v>0</v>
          </cell>
          <cell r="E92">
            <v>1201</v>
          </cell>
          <cell r="F92">
            <v>0</v>
          </cell>
          <cell r="G92">
            <v>196</v>
          </cell>
          <cell r="H92">
            <v>43</v>
          </cell>
          <cell r="I92">
            <v>204.75</v>
          </cell>
          <cell r="J92">
            <v>204.75</v>
          </cell>
          <cell r="K92">
            <v>204.75</v>
          </cell>
          <cell r="L92">
            <v>204.75</v>
          </cell>
          <cell r="M92">
            <v>204.75</v>
          </cell>
          <cell r="N92">
            <v>2463.75</v>
          </cell>
          <cell r="P92">
            <v>1440</v>
          </cell>
          <cell r="Q92">
            <v>1023.75</v>
          </cell>
          <cell r="R92">
            <v>2463.75</v>
          </cell>
        </row>
        <row r="93">
          <cell r="B93">
            <v>4177</v>
          </cell>
          <cell r="C93">
            <v>2610</v>
          </cell>
          <cell r="D93">
            <v>7476</v>
          </cell>
          <cell r="E93">
            <v>10494</v>
          </cell>
          <cell r="F93">
            <v>1500</v>
          </cell>
          <cell r="G93">
            <v>9104</v>
          </cell>
          <cell r="H93">
            <v>2372</v>
          </cell>
          <cell r="I93">
            <v>3345.25</v>
          </cell>
          <cell r="J93">
            <v>3345.25</v>
          </cell>
          <cell r="K93">
            <v>3345.25</v>
          </cell>
          <cell r="L93">
            <v>3345.25</v>
          </cell>
          <cell r="M93">
            <v>3345.25</v>
          </cell>
          <cell r="N93">
            <v>54459.25</v>
          </cell>
          <cell r="P93">
            <v>37733</v>
          </cell>
          <cell r="Q93">
            <v>16726.25</v>
          </cell>
          <cell r="R93">
            <v>54459.25</v>
          </cell>
        </row>
        <row r="95">
          <cell r="A95" t="str">
            <v>Instruction Expense</v>
          </cell>
        </row>
        <row r="96">
          <cell r="A96" t="str">
            <v>Textbooks</v>
          </cell>
          <cell r="B96">
            <v>0</v>
          </cell>
          <cell r="C96">
            <v>347</v>
          </cell>
          <cell r="D96">
            <v>0</v>
          </cell>
          <cell r="E96">
            <v>389</v>
          </cell>
          <cell r="F96">
            <v>0</v>
          </cell>
          <cell r="G96">
            <v>0</v>
          </cell>
          <cell r="H96">
            <v>501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1237</v>
          </cell>
          <cell r="P96">
            <v>1237</v>
          </cell>
          <cell r="Q96">
            <v>0</v>
          </cell>
          <cell r="R96">
            <v>1237</v>
          </cell>
        </row>
        <row r="97">
          <cell r="A97" t="str">
            <v>Library &amp; Reference Books</v>
          </cell>
          <cell r="B97">
            <v>1610</v>
          </cell>
          <cell r="C97">
            <v>0</v>
          </cell>
          <cell r="D97">
            <v>0</v>
          </cell>
          <cell r="E97">
            <v>132</v>
          </cell>
          <cell r="F97">
            <v>312</v>
          </cell>
          <cell r="G97">
            <v>333</v>
          </cell>
          <cell r="H97">
            <v>715</v>
          </cell>
          <cell r="I97">
            <v>156.97499999999999</v>
          </cell>
          <cell r="J97">
            <v>156.97499999999999</v>
          </cell>
          <cell r="K97">
            <v>156.97499999999999</v>
          </cell>
          <cell r="L97">
            <v>156.97499999999999</v>
          </cell>
          <cell r="M97">
            <v>156.97499999999999</v>
          </cell>
          <cell r="N97">
            <v>3886.875</v>
          </cell>
          <cell r="P97">
            <v>3102</v>
          </cell>
          <cell r="Q97">
            <v>784.875</v>
          </cell>
          <cell r="R97">
            <v>3886.875</v>
          </cell>
        </row>
        <row r="98">
          <cell r="A98" t="str">
            <v>Other Publications</v>
          </cell>
          <cell r="B98">
            <v>0</v>
          </cell>
          <cell r="C98">
            <v>54</v>
          </cell>
          <cell r="D98">
            <v>2391</v>
          </cell>
          <cell r="E98">
            <v>1541</v>
          </cell>
          <cell r="F98">
            <v>0</v>
          </cell>
          <cell r="G98">
            <v>238</v>
          </cell>
          <cell r="H98">
            <v>0</v>
          </cell>
          <cell r="I98">
            <v>91</v>
          </cell>
          <cell r="J98">
            <v>91</v>
          </cell>
          <cell r="K98">
            <v>91</v>
          </cell>
          <cell r="L98">
            <v>91</v>
          </cell>
          <cell r="M98">
            <v>91</v>
          </cell>
          <cell r="N98">
            <v>4679</v>
          </cell>
          <cell r="P98">
            <v>4224</v>
          </cell>
          <cell r="Q98">
            <v>455</v>
          </cell>
          <cell r="R98">
            <v>4679</v>
          </cell>
        </row>
        <row r="99">
          <cell r="A99" t="str">
            <v>Instructional Supplies</v>
          </cell>
          <cell r="B99">
            <v>122</v>
          </cell>
          <cell r="C99">
            <v>2107</v>
          </cell>
          <cell r="D99">
            <v>1944</v>
          </cell>
          <cell r="E99">
            <v>3834</v>
          </cell>
          <cell r="F99">
            <v>2475</v>
          </cell>
          <cell r="G99">
            <v>2484</v>
          </cell>
          <cell r="H99">
            <v>2043</v>
          </cell>
          <cell r="I99">
            <v>350</v>
          </cell>
          <cell r="J99">
            <v>350</v>
          </cell>
          <cell r="K99">
            <v>350</v>
          </cell>
          <cell r="L99">
            <v>350</v>
          </cell>
          <cell r="M99">
            <v>350</v>
          </cell>
          <cell r="N99">
            <v>16759</v>
          </cell>
          <cell r="P99">
            <v>15009</v>
          </cell>
          <cell r="Q99">
            <v>1750</v>
          </cell>
          <cell r="R99">
            <v>16759</v>
          </cell>
        </row>
        <row r="100">
          <cell r="A100" t="str">
            <v>Sporting Goods</v>
          </cell>
          <cell r="B100">
            <v>0</v>
          </cell>
          <cell r="C100">
            <v>0</v>
          </cell>
          <cell r="D100">
            <v>758</v>
          </cell>
          <cell r="E100">
            <v>0</v>
          </cell>
          <cell r="F100">
            <v>1198</v>
          </cell>
          <cell r="G100">
            <v>203</v>
          </cell>
          <cell r="H100">
            <v>0</v>
          </cell>
          <cell r="I100">
            <v>72.8</v>
          </cell>
          <cell r="J100">
            <v>72.8</v>
          </cell>
          <cell r="K100">
            <v>72.8</v>
          </cell>
          <cell r="L100">
            <v>72.8</v>
          </cell>
          <cell r="M100">
            <v>72.8</v>
          </cell>
          <cell r="N100">
            <v>2523</v>
          </cell>
          <cell r="P100">
            <v>2159</v>
          </cell>
          <cell r="Q100">
            <v>364</v>
          </cell>
          <cell r="R100">
            <v>2523</v>
          </cell>
        </row>
        <row r="101">
          <cell r="B101">
            <v>1732</v>
          </cell>
          <cell r="C101">
            <v>2508</v>
          </cell>
          <cell r="D101">
            <v>5093</v>
          </cell>
          <cell r="E101">
            <v>5896</v>
          </cell>
          <cell r="F101">
            <v>3985</v>
          </cell>
          <cell r="G101">
            <v>3258</v>
          </cell>
          <cell r="H101">
            <v>3259</v>
          </cell>
          <cell r="I101">
            <v>670.77499999999998</v>
          </cell>
          <cell r="J101">
            <v>670.77499999999998</v>
          </cell>
          <cell r="K101">
            <v>670.77499999999998</v>
          </cell>
          <cell r="L101">
            <v>670.77499999999998</v>
          </cell>
          <cell r="M101">
            <v>670.77499999999998</v>
          </cell>
          <cell r="N101">
            <v>29084.875</v>
          </cell>
          <cell r="P101">
            <v>25731</v>
          </cell>
          <cell r="Q101">
            <v>3353.875</v>
          </cell>
          <cell r="R101">
            <v>29084.875</v>
          </cell>
        </row>
        <row r="103">
          <cell r="A103" t="str">
            <v>Other Operating Expenses</v>
          </cell>
        </row>
        <row r="104">
          <cell r="A104" t="str">
            <v>Telephone</v>
          </cell>
          <cell r="B104">
            <v>1200</v>
          </cell>
          <cell r="C104">
            <v>1255</v>
          </cell>
          <cell r="D104">
            <v>2791</v>
          </cell>
          <cell r="E104">
            <v>1381</v>
          </cell>
          <cell r="F104">
            <v>1200</v>
          </cell>
          <cell r="G104">
            <v>770</v>
          </cell>
          <cell r="H104">
            <v>2614</v>
          </cell>
          <cell r="I104">
            <v>950</v>
          </cell>
          <cell r="J104">
            <v>950</v>
          </cell>
          <cell r="K104">
            <v>950</v>
          </cell>
          <cell r="L104">
            <v>950</v>
          </cell>
          <cell r="M104">
            <v>950</v>
          </cell>
          <cell r="N104">
            <v>15961</v>
          </cell>
          <cell r="P104">
            <v>11211</v>
          </cell>
          <cell r="Q104">
            <v>4750</v>
          </cell>
          <cell r="R104">
            <v>15961</v>
          </cell>
        </row>
        <row r="105">
          <cell r="A105" t="str">
            <v>Postage</v>
          </cell>
          <cell r="B105">
            <v>242</v>
          </cell>
          <cell r="C105">
            <v>142</v>
          </cell>
          <cell r="D105">
            <v>815</v>
          </cell>
          <cell r="E105">
            <v>439</v>
          </cell>
          <cell r="F105">
            <v>15</v>
          </cell>
          <cell r="G105">
            <v>0</v>
          </cell>
          <cell r="H105">
            <v>0</v>
          </cell>
          <cell r="I105">
            <v>273</v>
          </cell>
          <cell r="J105">
            <v>273</v>
          </cell>
          <cell r="K105">
            <v>273</v>
          </cell>
          <cell r="L105">
            <v>273</v>
          </cell>
          <cell r="M105">
            <v>273</v>
          </cell>
          <cell r="N105">
            <v>3018</v>
          </cell>
          <cell r="P105">
            <v>1653</v>
          </cell>
          <cell r="Q105">
            <v>1365</v>
          </cell>
          <cell r="R105">
            <v>3018</v>
          </cell>
        </row>
        <row r="106">
          <cell r="A106" t="str">
            <v>Express Mail</v>
          </cell>
          <cell r="B106">
            <v>71</v>
          </cell>
          <cell r="C106">
            <v>0</v>
          </cell>
          <cell r="D106">
            <v>130</v>
          </cell>
          <cell r="E106">
            <v>6</v>
          </cell>
          <cell r="F106">
            <v>0</v>
          </cell>
          <cell r="G106">
            <v>0</v>
          </cell>
          <cell r="H106">
            <v>52</v>
          </cell>
          <cell r="I106">
            <v>163.80000000000001</v>
          </cell>
          <cell r="J106">
            <v>163.80000000000001</v>
          </cell>
          <cell r="K106">
            <v>163.80000000000001</v>
          </cell>
          <cell r="L106">
            <v>163.80000000000001</v>
          </cell>
          <cell r="M106">
            <v>163.80000000000001</v>
          </cell>
          <cell r="N106">
            <v>1078</v>
          </cell>
          <cell r="P106">
            <v>259</v>
          </cell>
          <cell r="Q106">
            <v>819</v>
          </cell>
          <cell r="R106">
            <v>1078</v>
          </cell>
        </row>
        <row r="107">
          <cell r="A107" t="str">
            <v>Electricity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Gas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Water &amp; Sewer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Waste Disposal</v>
          </cell>
          <cell r="B110">
            <v>0</v>
          </cell>
          <cell r="C110">
            <v>115</v>
          </cell>
          <cell r="D110">
            <v>292</v>
          </cell>
          <cell r="E110">
            <v>226</v>
          </cell>
          <cell r="F110">
            <v>232</v>
          </cell>
          <cell r="G110">
            <v>235</v>
          </cell>
          <cell r="H110">
            <v>496</v>
          </cell>
          <cell r="I110">
            <v>226</v>
          </cell>
          <cell r="J110">
            <v>226</v>
          </cell>
          <cell r="K110">
            <v>226</v>
          </cell>
          <cell r="L110">
            <v>226</v>
          </cell>
          <cell r="M110">
            <v>226</v>
          </cell>
          <cell r="N110">
            <v>2726</v>
          </cell>
          <cell r="P110">
            <v>1596</v>
          </cell>
          <cell r="Q110">
            <v>1130</v>
          </cell>
          <cell r="R110">
            <v>2726</v>
          </cell>
        </row>
        <row r="111">
          <cell r="A111" t="str">
            <v>Security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74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74</v>
          </cell>
          <cell r="P111">
            <v>74</v>
          </cell>
          <cell r="Q111">
            <v>0</v>
          </cell>
          <cell r="R111">
            <v>74</v>
          </cell>
        </row>
        <row r="112">
          <cell r="A112" t="str">
            <v>Uniform &amp; Laundry Expenses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Maintenance Supplies</v>
          </cell>
          <cell r="B113">
            <v>0</v>
          </cell>
          <cell r="C113">
            <v>276</v>
          </cell>
          <cell r="D113">
            <v>115</v>
          </cell>
          <cell r="E113">
            <v>684</v>
          </cell>
          <cell r="F113">
            <v>0</v>
          </cell>
          <cell r="G113">
            <v>1066</v>
          </cell>
          <cell r="H113">
            <v>750</v>
          </cell>
          <cell r="I113">
            <v>450</v>
          </cell>
          <cell r="J113">
            <v>450</v>
          </cell>
          <cell r="K113">
            <v>450</v>
          </cell>
          <cell r="L113">
            <v>450</v>
          </cell>
          <cell r="M113">
            <v>450</v>
          </cell>
          <cell r="N113">
            <v>5141</v>
          </cell>
          <cell r="P113">
            <v>2891</v>
          </cell>
          <cell r="Q113">
            <v>2250</v>
          </cell>
          <cell r="R113">
            <v>5141</v>
          </cell>
        </row>
        <row r="114">
          <cell r="A114" t="str">
            <v>Building Repairs &amp; Maintenance</v>
          </cell>
          <cell r="B114">
            <v>0</v>
          </cell>
          <cell r="C114">
            <v>276</v>
          </cell>
          <cell r="D114">
            <v>923</v>
          </cell>
          <cell r="E114">
            <v>1443</v>
          </cell>
          <cell r="F114">
            <v>905</v>
          </cell>
          <cell r="G114">
            <v>-5</v>
          </cell>
          <cell r="H114">
            <v>96</v>
          </cell>
          <cell r="I114">
            <v>391.38249999999999</v>
          </cell>
          <cell r="J114">
            <v>391.38249999999999</v>
          </cell>
          <cell r="K114">
            <v>391.38249999999999</v>
          </cell>
          <cell r="L114">
            <v>391.38249999999999</v>
          </cell>
          <cell r="M114">
            <v>391.38249999999999</v>
          </cell>
          <cell r="N114">
            <v>5594.9125000000004</v>
          </cell>
          <cell r="P114">
            <v>3638</v>
          </cell>
          <cell r="Q114">
            <v>1956.9124999999999</v>
          </cell>
          <cell r="R114">
            <v>5594.9125000000004</v>
          </cell>
        </row>
        <row r="115">
          <cell r="A115" t="str">
            <v>Equipment Repairs &amp; Maintenance</v>
          </cell>
          <cell r="B115">
            <v>0</v>
          </cell>
          <cell r="C115">
            <v>617</v>
          </cell>
          <cell r="D115">
            <v>1040</v>
          </cell>
          <cell r="E115">
            <v>50</v>
          </cell>
          <cell r="F115">
            <v>1854</v>
          </cell>
          <cell r="G115">
            <v>200</v>
          </cell>
          <cell r="H115">
            <v>174</v>
          </cell>
          <cell r="I115">
            <v>682.5</v>
          </cell>
          <cell r="J115">
            <v>682.5</v>
          </cell>
          <cell r="K115">
            <v>682.5</v>
          </cell>
          <cell r="L115">
            <v>682.5</v>
          </cell>
          <cell r="M115">
            <v>682.5</v>
          </cell>
          <cell r="N115">
            <v>7347.5</v>
          </cell>
          <cell r="P115">
            <v>3935</v>
          </cell>
          <cell r="Q115">
            <v>3412.5</v>
          </cell>
          <cell r="R115">
            <v>7347.5</v>
          </cell>
        </row>
        <row r="116">
          <cell r="A116" t="str">
            <v>Computer Repairs &amp; Maintenance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40</v>
          </cell>
          <cell r="G116">
            <v>0</v>
          </cell>
          <cell r="H116">
            <v>799</v>
          </cell>
          <cell r="I116">
            <v>227.5</v>
          </cell>
          <cell r="J116">
            <v>227.5</v>
          </cell>
          <cell r="K116">
            <v>227.5</v>
          </cell>
          <cell r="L116">
            <v>227.5</v>
          </cell>
          <cell r="M116">
            <v>227.5</v>
          </cell>
          <cell r="N116">
            <v>1976.5</v>
          </cell>
          <cell r="P116">
            <v>839</v>
          </cell>
          <cell r="Q116">
            <v>1137.5</v>
          </cell>
          <cell r="R116">
            <v>1976.5</v>
          </cell>
        </row>
        <row r="117">
          <cell r="A117" t="str">
            <v>Miscellaneous Expenses</v>
          </cell>
          <cell r="B117">
            <v>0</v>
          </cell>
          <cell r="C117">
            <v>2077</v>
          </cell>
          <cell r="D117">
            <v>1185</v>
          </cell>
          <cell r="E117">
            <v>-261</v>
          </cell>
          <cell r="F117">
            <v>1327</v>
          </cell>
          <cell r="G117">
            <v>499</v>
          </cell>
          <cell r="H117">
            <v>305</v>
          </cell>
          <cell r="I117">
            <v>182</v>
          </cell>
          <cell r="J117">
            <v>182</v>
          </cell>
          <cell r="K117">
            <v>182</v>
          </cell>
          <cell r="L117">
            <v>182</v>
          </cell>
          <cell r="M117">
            <v>182</v>
          </cell>
          <cell r="N117">
            <v>6042</v>
          </cell>
          <cell r="P117">
            <v>5132</v>
          </cell>
          <cell r="Q117">
            <v>910</v>
          </cell>
          <cell r="R117">
            <v>6042</v>
          </cell>
        </row>
        <row r="118">
          <cell r="B118">
            <v>1513</v>
          </cell>
          <cell r="C118">
            <v>4758</v>
          </cell>
          <cell r="D118">
            <v>7291</v>
          </cell>
          <cell r="E118">
            <v>3968</v>
          </cell>
          <cell r="F118">
            <v>5573</v>
          </cell>
          <cell r="G118">
            <v>2839</v>
          </cell>
          <cell r="H118">
            <v>5286</v>
          </cell>
          <cell r="I118">
            <v>3546.1825000000003</v>
          </cell>
          <cell r="J118">
            <v>3546.1825000000003</v>
          </cell>
          <cell r="K118">
            <v>3546.1825000000003</v>
          </cell>
          <cell r="L118">
            <v>3546.1825000000003</v>
          </cell>
          <cell r="M118">
            <v>3546.1825000000003</v>
          </cell>
          <cell r="N118">
            <v>48958.912500000006</v>
          </cell>
          <cell r="P118">
            <v>31228</v>
          </cell>
          <cell r="Q118">
            <v>17730.912499999999</v>
          </cell>
          <cell r="R118">
            <v>48958.912499999999</v>
          </cell>
        </row>
        <row r="120">
          <cell r="A120" t="str">
            <v>Profit After Operating Expenses</v>
          </cell>
          <cell r="B120">
            <v>165740</v>
          </cell>
          <cell r="C120">
            <v>83279</v>
          </cell>
          <cell r="D120">
            <v>-97319</v>
          </cell>
          <cell r="E120">
            <v>-25686</v>
          </cell>
          <cell r="F120">
            <v>-10355.340000000026</v>
          </cell>
          <cell r="G120">
            <v>-36558.840000000026</v>
          </cell>
          <cell r="H120">
            <v>-63085</v>
          </cell>
          <cell r="I120">
            <v>-3348.0476733332907</v>
          </cell>
          <cell r="J120">
            <v>-8324.5537533333118</v>
          </cell>
          <cell r="K120">
            <v>2908.4584066667303</v>
          </cell>
          <cell r="L120">
            <v>-18126.898633333272</v>
          </cell>
          <cell r="M120">
            <v>2190.7876866667357</v>
          </cell>
          <cell r="N120">
            <v>-8685.43396666646</v>
          </cell>
          <cell r="P120">
            <v>16014.819999999832</v>
          </cell>
          <cell r="Q120">
            <v>-24700.253966666547</v>
          </cell>
          <cell r="R120">
            <v>-8685.4339666668311</v>
          </cell>
        </row>
        <row r="122">
          <cell r="A122" t="str">
            <v>Fixed Expense</v>
          </cell>
        </row>
        <row r="123">
          <cell r="A123" t="str">
            <v>Rent Expense</v>
          </cell>
          <cell r="B123">
            <v>39367.777777777781</v>
          </cell>
          <cell r="C123">
            <v>39367.777777777781</v>
          </cell>
          <cell r="D123">
            <v>39367.777777777781</v>
          </cell>
          <cell r="E123">
            <v>44063</v>
          </cell>
          <cell r="F123">
            <v>39367.777777777781</v>
          </cell>
          <cell r="G123">
            <v>34673</v>
          </cell>
          <cell r="H123">
            <v>39368</v>
          </cell>
          <cell r="I123">
            <v>39367.777777777781</v>
          </cell>
          <cell r="J123">
            <v>39367.777777777781</v>
          </cell>
          <cell r="K123">
            <v>39367.777777777781</v>
          </cell>
          <cell r="L123">
            <v>39367.777777777781</v>
          </cell>
          <cell r="M123">
            <v>39367.777777777781</v>
          </cell>
          <cell r="N123">
            <v>472413.99999999988</v>
          </cell>
          <cell r="P123">
            <v>275575.11111111112</v>
          </cell>
          <cell r="Q123">
            <v>196838.88888888891</v>
          </cell>
          <cell r="R123">
            <v>472414</v>
          </cell>
        </row>
        <row r="124">
          <cell r="A124" t="str">
            <v>CAM, TMI &amp; Merchant Assoc. Dues</v>
          </cell>
          <cell r="B124">
            <v>17499.937499999996</v>
          </cell>
          <cell r="C124">
            <v>17499.937499999996</v>
          </cell>
          <cell r="D124">
            <v>34065</v>
          </cell>
          <cell r="E124">
            <v>26217</v>
          </cell>
          <cell r="F124">
            <v>26217</v>
          </cell>
          <cell r="G124">
            <v>9587</v>
          </cell>
          <cell r="H124">
            <v>0</v>
          </cell>
          <cell r="I124">
            <v>26218</v>
          </cell>
          <cell r="J124">
            <v>26218</v>
          </cell>
          <cell r="K124">
            <v>26218</v>
          </cell>
          <cell r="L124">
            <v>26218</v>
          </cell>
          <cell r="M124">
            <v>26218</v>
          </cell>
          <cell r="N124">
            <v>262175.875</v>
          </cell>
          <cell r="P124">
            <v>131085.875</v>
          </cell>
          <cell r="Q124">
            <v>131090</v>
          </cell>
          <cell r="R124">
            <v>262175.875</v>
          </cell>
        </row>
        <row r="125">
          <cell r="A125" t="str">
            <v>Property &amp; Rent Taxes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Leasing Expense</v>
          </cell>
          <cell r="B126">
            <v>10085</v>
          </cell>
          <cell r="C126">
            <v>10085</v>
          </cell>
          <cell r="D126">
            <v>11446</v>
          </cell>
          <cell r="E126">
            <v>10685</v>
          </cell>
          <cell r="F126">
            <v>10385</v>
          </cell>
          <cell r="G126">
            <v>13409</v>
          </cell>
          <cell r="H126">
            <v>6643</v>
          </cell>
          <cell r="I126">
            <v>10777.64</v>
          </cell>
          <cell r="J126">
            <v>10777.64</v>
          </cell>
          <cell r="K126">
            <v>10777.64</v>
          </cell>
          <cell r="L126">
            <v>10777.64</v>
          </cell>
          <cell r="M126">
            <v>10777.64</v>
          </cell>
          <cell r="N126">
            <v>126626.2</v>
          </cell>
          <cell r="P126">
            <v>72738</v>
          </cell>
          <cell r="Q126">
            <v>53888.2</v>
          </cell>
          <cell r="R126">
            <v>126626.2</v>
          </cell>
        </row>
        <row r="127">
          <cell r="A127" t="str">
            <v>Property &amp; Prof. Liab Insurance</v>
          </cell>
          <cell r="B127">
            <v>1333</v>
          </cell>
          <cell r="C127">
            <v>1333</v>
          </cell>
          <cell r="D127">
            <v>1333</v>
          </cell>
          <cell r="E127">
            <v>-1903</v>
          </cell>
          <cell r="F127">
            <v>524</v>
          </cell>
          <cell r="G127">
            <v>522</v>
          </cell>
          <cell r="H127">
            <v>524</v>
          </cell>
          <cell r="I127">
            <v>1400</v>
          </cell>
          <cell r="J127">
            <v>1400</v>
          </cell>
          <cell r="K127">
            <v>1400</v>
          </cell>
          <cell r="L127">
            <v>1400</v>
          </cell>
          <cell r="M127">
            <v>1400</v>
          </cell>
          <cell r="N127">
            <v>10666</v>
          </cell>
          <cell r="P127">
            <v>3666</v>
          </cell>
          <cell r="Q127">
            <v>7000</v>
          </cell>
          <cell r="R127">
            <v>10666</v>
          </cell>
        </row>
        <row r="128">
          <cell r="A128" t="str">
            <v>Interest Expense / (Income)</v>
          </cell>
          <cell r="B128">
            <v>476.12097754913333</v>
          </cell>
          <cell r="C128">
            <v>476</v>
          </cell>
          <cell r="D128">
            <v>1652</v>
          </cell>
          <cell r="E128">
            <v>476</v>
          </cell>
          <cell r="F128">
            <v>623</v>
          </cell>
          <cell r="G128">
            <v>471</v>
          </cell>
          <cell r="H128">
            <v>470</v>
          </cell>
          <cell r="I128">
            <v>469</v>
          </cell>
          <cell r="J128">
            <v>468</v>
          </cell>
          <cell r="K128">
            <v>466</v>
          </cell>
          <cell r="L128">
            <v>465</v>
          </cell>
          <cell r="M128">
            <v>464</v>
          </cell>
          <cell r="N128">
            <v>6976.1209775491334</v>
          </cell>
          <cell r="P128">
            <v>4644.1209775491334</v>
          </cell>
          <cell r="Q128">
            <v>2332</v>
          </cell>
          <cell r="R128">
            <v>6976.1209775491334</v>
          </cell>
        </row>
        <row r="129">
          <cell r="A129" t="str">
            <v>Depreciation</v>
          </cell>
          <cell r="B129">
            <v>362</v>
          </cell>
          <cell r="C129">
            <v>362</v>
          </cell>
          <cell r="D129">
            <v>2309</v>
          </cell>
          <cell r="E129">
            <v>362</v>
          </cell>
          <cell r="F129">
            <v>4063</v>
          </cell>
          <cell r="G129">
            <v>4702</v>
          </cell>
          <cell r="H129">
            <v>3924</v>
          </cell>
          <cell r="I129">
            <v>8000</v>
          </cell>
          <cell r="J129">
            <v>8000</v>
          </cell>
          <cell r="K129">
            <v>8000</v>
          </cell>
          <cell r="L129">
            <v>8000</v>
          </cell>
          <cell r="M129">
            <v>8000</v>
          </cell>
          <cell r="N129">
            <v>56084</v>
          </cell>
          <cell r="P129">
            <v>16084</v>
          </cell>
          <cell r="Q129">
            <v>40000</v>
          </cell>
          <cell r="R129">
            <v>56084</v>
          </cell>
        </row>
        <row r="130">
          <cell r="A130" t="str">
            <v>Amortization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69123.836255326911</v>
          </cell>
          <cell r="C131">
            <v>69123.715277777781</v>
          </cell>
          <cell r="D131">
            <v>90172.777777777781</v>
          </cell>
          <cell r="E131">
            <v>79900</v>
          </cell>
          <cell r="F131">
            <v>81179.777777777781</v>
          </cell>
          <cell r="G131">
            <v>63364</v>
          </cell>
          <cell r="H131">
            <v>50929</v>
          </cell>
          <cell r="I131">
            <v>86232.41777777778</v>
          </cell>
          <cell r="J131">
            <v>86231.41777777778</v>
          </cell>
          <cell r="K131">
            <v>86229.41777777778</v>
          </cell>
          <cell r="L131">
            <v>86228.41777777778</v>
          </cell>
          <cell r="M131">
            <v>86227.41777777778</v>
          </cell>
          <cell r="N131">
            <v>934942.19597754907</v>
          </cell>
          <cell r="P131">
            <v>503793.10708866024</v>
          </cell>
          <cell r="Q131">
            <v>431149.08888888889</v>
          </cell>
          <cell r="R131">
            <v>934942.19597754907</v>
          </cell>
        </row>
        <row r="133">
          <cell r="A133" t="str">
            <v>Profit before Taxes</v>
          </cell>
          <cell r="B133">
            <v>96616.163744673089</v>
          </cell>
          <cell r="C133">
            <v>14155.284722222219</v>
          </cell>
          <cell r="D133">
            <v>-187491.77777777778</v>
          </cell>
          <cell r="E133">
            <v>-105586</v>
          </cell>
          <cell r="F133">
            <v>-91535.117777777807</v>
          </cell>
          <cell r="G133">
            <v>-99922.840000000026</v>
          </cell>
          <cell r="H133">
            <v>-114014</v>
          </cell>
          <cell r="I133">
            <v>-89580.465451111071</v>
          </cell>
          <cell r="J133">
            <v>-94555.971531111092</v>
          </cell>
          <cell r="K133">
            <v>-83320.95937111105</v>
          </cell>
          <cell r="L133">
            <v>-104355.31641111105</v>
          </cell>
          <cell r="M133">
            <v>-84036.630091111045</v>
          </cell>
          <cell r="N133">
            <v>-943627.62994421553</v>
          </cell>
          <cell r="P133">
            <v>-487778.28708866041</v>
          </cell>
          <cell r="Q133">
            <v>-455849.34285555541</v>
          </cell>
          <cell r="R133">
            <v>-943627.62994421588</v>
          </cell>
        </row>
        <row r="135">
          <cell r="A135" t="str">
            <v>Other Income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-97</v>
          </cell>
          <cell r="H135">
            <v>-811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-908</v>
          </cell>
          <cell r="P135">
            <v>-908</v>
          </cell>
          <cell r="Q135">
            <v>0</v>
          </cell>
          <cell r="R135">
            <v>-908</v>
          </cell>
        </row>
        <row r="137">
          <cell r="A137" t="str">
            <v>Net Income/(Loss)</v>
          </cell>
          <cell r="B137">
            <v>96616.163744673089</v>
          </cell>
          <cell r="C137">
            <v>14155.284722222219</v>
          </cell>
          <cell r="D137">
            <v>-187491.77777777778</v>
          </cell>
          <cell r="E137">
            <v>-105586</v>
          </cell>
          <cell r="F137">
            <v>-91535.117777777807</v>
          </cell>
          <cell r="G137">
            <v>-99825.840000000026</v>
          </cell>
          <cell r="H137">
            <v>-113203</v>
          </cell>
          <cell r="I137">
            <v>-89580.465451111071</v>
          </cell>
          <cell r="J137">
            <v>-94555.971531111092</v>
          </cell>
          <cell r="K137">
            <v>-83320.95937111105</v>
          </cell>
          <cell r="L137">
            <v>-104355.31641111105</v>
          </cell>
          <cell r="M137">
            <v>-84036.630091111045</v>
          </cell>
          <cell r="N137">
            <v>-942719.62994421553</v>
          </cell>
          <cell r="P137">
            <v>-486870.28708866041</v>
          </cell>
          <cell r="Q137">
            <v>-455849.34285555541</v>
          </cell>
          <cell r="R137">
            <v>-942719.62994421588</v>
          </cell>
        </row>
        <row r="139">
          <cell r="A139" t="str">
            <v>Add back ASI Management Fee</v>
          </cell>
          <cell r="B139">
            <v>58283</v>
          </cell>
          <cell r="C139">
            <v>63568</v>
          </cell>
          <cell r="D139">
            <v>83551</v>
          </cell>
          <cell r="E139">
            <v>73313</v>
          </cell>
          <cell r="F139">
            <v>71865</v>
          </cell>
          <cell r="G139">
            <v>74859</v>
          </cell>
          <cell r="H139">
            <v>73875</v>
          </cell>
          <cell r="I139">
            <v>74690.07084</v>
          </cell>
          <cell r="J139">
            <v>75339.799920000005</v>
          </cell>
          <cell r="K139">
            <v>75140.34176000001</v>
          </cell>
          <cell r="L139">
            <v>74906.642800000001</v>
          </cell>
          <cell r="M139">
            <v>79973.494480000008</v>
          </cell>
          <cell r="N139">
            <v>879364.34979999997</v>
          </cell>
          <cell r="P139">
            <v>499314</v>
          </cell>
          <cell r="Q139">
            <v>380050.34980000003</v>
          </cell>
          <cell r="R139">
            <v>879364.34979999997</v>
          </cell>
        </row>
        <row r="141">
          <cell r="A141" t="str">
            <v>Net Income Before ASI Fee</v>
          </cell>
          <cell r="B141">
            <v>154899.16374467307</v>
          </cell>
          <cell r="C141">
            <v>77723.284722222219</v>
          </cell>
          <cell r="D141">
            <v>-103940.77777777778</v>
          </cell>
          <cell r="E141">
            <v>-32273</v>
          </cell>
          <cell r="F141">
            <v>-19670.117777777807</v>
          </cell>
          <cell r="G141">
            <v>-24966.840000000026</v>
          </cell>
          <cell r="H141">
            <v>-39328</v>
          </cell>
          <cell r="I141">
            <v>-14890.394611111071</v>
          </cell>
          <cell r="J141">
            <v>-19216.171611111087</v>
          </cell>
          <cell r="K141">
            <v>-8180.6176111110399</v>
          </cell>
          <cell r="L141">
            <v>-29448.673611111051</v>
          </cell>
          <cell r="M141">
            <v>-4063.1356111110363</v>
          </cell>
          <cell r="N141">
            <v>-63355.280144215591</v>
          </cell>
          <cell r="P141">
            <v>12443.712911339593</v>
          </cell>
          <cell r="Q141">
            <v>-75798.993055555387</v>
          </cell>
          <cell r="R141">
            <v>-63355.280144215911</v>
          </cell>
        </row>
      </sheetData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XEM313"/>
  <sheetViews>
    <sheetView tabSelected="1" topLeftCell="B1" zoomScaleNormal="100" workbookViewId="0">
      <selection activeCell="B1" sqref="B1"/>
    </sheetView>
  </sheetViews>
  <sheetFormatPr defaultColWidth="9.109375" defaultRowHeight="13.2" x14ac:dyDescent="0.25"/>
  <cols>
    <col min="1" max="1" width="6.109375" style="17" hidden="1" customWidth="1"/>
    <col min="2" max="2" width="4" style="3" customWidth="1"/>
    <col min="3" max="4" width="5" style="3" customWidth="1"/>
    <col min="5" max="5" width="4" style="3" customWidth="1"/>
    <col min="6" max="6" width="0.88671875" style="3" customWidth="1"/>
    <col min="7" max="7" width="37.44140625" style="1" customWidth="1"/>
    <col min="8" max="8" width="12.6640625" style="22" customWidth="1"/>
    <col min="9" max="12" width="9.109375" style="1" hidden="1" customWidth="1"/>
    <col min="13" max="13" width="9.44140625" style="1" hidden="1" customWidth="1"/>
    <col min="14" max="14" width="7.33203125" style="1" hidden="1" customWidth="1"/>
    <col min="15" max="15" width="9.109375" style="1" customWidth="1"/>
    <col min="16" max="16" width="10.5546875" style="1" customWidth="1"/>
    <col min="17" max="17" width="10.6640625" style="1" customWidth="1"/>
    <col min="18" max="29" width="9.109375" style="1" customWidth="1"/>
    <col min="30" max="16384" width="9.109375" style="1"/>
  </cols>
  <sheetData>
    <row r="1" spans="1:17 16367:16367" x14ac:dyDescent="0.25">
      <c r="B1" s="43" t="s">
        <v>148</v>
      </c>
      <c r="C1" s="43"/>
      <c r="D1" s="43"/>
      <c r="E1" s="43"/>
      <c r="F1" s="43"/>
      <c r="G1" s="43"/>
      <c r="H1" s="43"/>
      <c r="I1" s="1" t="s">
        <v>65</v>
      </c>
    </row>
    <row r="2" spans="1:17 16367:16367" s="2" customFormat="1" x14ac:dyDescent="0.25">
      <c r="A2" s="17"/>
      <c r="B2" s="43" t="s">
        <v>140</v>
      </c>
      <c r="C2" s="43"/>
      <c r="D2" s="43"/>
      <c r="E2" s="43"/>
      <c r="F2" s="43"/>
      <c r="G2" s="43"/>
      <c r="H2" s="43"/>
      <c r="I2" s="1" t="s">
        <v>65</v>
      </c>
      <c r="J2" s="1"/>
      <c r="K2" s="1"/>
      <c r="L2" s="1"/>
      <c r="M2" s="1"/>
      <c r="N2" s="1"/>
    </row>
    <row r="3" spans="1:17 16367:16367" s="2" customFormat="1" x14ac:dyDescent="0.25">
      <c r="A3" s="17"/>
      <c r="B3" s="43" t="s">
        <v>46</v>
      </c>
      <c r="C3" s="43"/>
      <c r="D3" s="43"/>
      <c r="E3" s="43"/>
      <c r="F3" s="43"/>
      <c r="G3" s="43"/>
      <c r="H3" s="43"/>
      <c r="I3" s="1" t="s">
        <v>65</v>
      </c>
      <c r="J3" s="1"/>
      <c r="K3" s="1"/>
      <c r="L3" s="1"/>
      <c r="M3" s="1"/>
      <c r="N3" s="1"/>
    </row>
    <row r="4" spans="1:17 16367:16367" s="2" customFormat="1" x14ac:dyDescent="0.25">
      <c r="A4" s="17"/>
      <c r="B4" s="44" t="s">
        <v>192</v>
      </c>
      <c r="C4" s="44"/>
      <c r="D4" s="44"/>
      <c r="E4" s="44"/>
      <c r="F4" s="44"/>
      <c r="G4" s="44"/>
      <c r="H4" s="44"/>
      <c r="I4" s="1" t="s">
        <v>65</v>
      </c>
      <c r="J4" s="1"/>
      <c r="K4" s="1"/>
      <c r="L4" s="1"/>
      <c r="M4" s="1"/>
      <c r="N4" s="1"/>
    </row>
    <row r="5" spans="1:17 16367:16367" s="2" customFormat="1" x14ac:dyDescent="0.25">
      <c r="A5" s="17"/>
      <c r="B5" s="44"/>
      <c r="C5" s="44"/>
      <c r="D5" s="44"/>
      <c r="E5" s="44"/>
      <c r="F5" s="44"/>
      <c r="G5" s="44"/>
      <c r="H5" s="44"/>
      <c r="I5" s="1" t="s">
        <v>65</v>
      </c>
      <c r="J5" s="1"/>
      <c r="K5" s="1"/>
      <c r="L5" s="1"/>
      <c r="M5" s="1"/>
      <c r="N5" s="1"/>
    </row>
    <row r="6" spans="1:17 16367:16367" s="4" customFormat="1" hidden="1" x14ac:dyDescent="0.25">
      <c r="A6" s="18"/>
      <c r="B6" s="6"/>
      <c r="C6" s="6"/>
      <c r="D6" s="6"/>
      <c r="E6" s="6"/>
      <c r="F6" s="6"/>
      <c r="G6" s="15"/>
      <c r="H6" s="15"/>
      <c r="I6" s="4" t="s">
        <v>57</v>
      </c>
    </row>
    <row r="7" spans="1:17 16367:16367" s="2" customFormat="1" hidden="1" x14ac:dyDescent="0.25">
      <c r="A7" s="17"/>
      <c r="B7" s="44"/>
      <c r="C7" s="44"/>
      <c r="D7" s="44"/>
      <c r="E7" s="44"/>
      <c r="F7" s="44"/>
      <c r="G7" s="44"/>
      <c r="H7" s="44"/>
      <c r="I7" s="1"/>
      <c r="J7" s="1"/>
      <c r="K7" s="1"/>
      <c r="L7" s="1"/>
      <c r="M7" s="1"/>
      <c r="N7" s="1"/>
    </row>
    <row r="8" spans="1:17 16367:16367" s="4" customFormat="1" ht="12.75" hidden="1" customHeight="1" x14ac:dyDescent="0.25">
      <c r="A8" s="6"/>
      <c r="B8" s="6"/>
      <c r="C8" s="6"/>
      <c r="D8" s="6"/>
      <c r="E8" s="6"/>
      <c r="G8" s="70"/>
      <c r="H8" s="71"/>
      <c r="I8" s="4" t="s">
        <v>57</v>
      </c>
      <c r="N8" s="55"/>
      <c r="XEM8" s="6"/>
    </row>
    <row r="9" spans="1:17 16367:16367" s="4" customFormat="1" ht="12.75" customHeight="1" x14ac:dyDescent="0.25">
      <c r="A9" s="18"/>
      <c r="B9" s="6" t="s">
        <v>125</v>
      </c>
      <c r="C9" s="6"/>
      <c r="D9" s="6"/>
      <c r="E9" s="6"/>
      <c r="F9" s="6"/>
      <c r="H9" s="72">
        <f>+EnrNew</f>
        <v>46.58</v>
      </c>
      <c r="I9" s="4" t="s">
        <v>65</v>
      </c>
    </row>
    <row r="10" spans="1:17 16367:16367" s="4" customFormat="1" ht="12.75" customHeight="1" x14ac:dyDescent="0.25">
      <c r="A10" s="18"/>
      <c r="B10" s="5"/>
      <c r="C10" s="5"/>
      <c r="D10" s="5"/>
      <c r="E10" s="5"/>
      <c r="F10" s="5"/>
      <c r="H10" s="20"/>
      <c r="I10" s="1" t="s">
        <v>65</v>
      </c>
      <c r="J10" s="1"/>
      <c r="K10" s="1"/>
      <c r="L10" s="1"/>
      <c r="M10" s="1"/>
      <c r="N10" s="1"/>
    </row>
    <row r="11" spans="1:17 16367:16367" s="4" customFormat="1" ht="12.75" hidden="1" customHeight="1" x14ac:dyDescent="0.25">
      <c r="A11" s="18"/>
      <c r="B11" s="5"/>
      <c r="C11" s="5"/>
      <c r="D11" s="5"/>
      <c r="E11" s="5"/>
      <c r="F11" s="5"/>
      <c r="H11" s="24"/>
      <c r="I11" s="1"/>
      <c r="J11" s="1"/>
      <c r="K11" s="1"/>
      <c r="L11" s="1"/>
      <c r="M11" s="1"/>
      <c r="N11" s="1"/>
      <c r="O11" s="55"/>
      <c r="P11" s="55"/>
      <c r="Q11" s="55"/>
    </row>
    <row r="12" spans="1:17 16367:16367" s="4" customFormat="1" ht="12.75" hidden="1" customHeight="1" x14ac:dyDescent="0.25">
      <c r="A12" s="18"/>
      <c r="B12" s="5"/>
      <c r="C12" s="5"/>
      <c r="D12" s="5"/>
      <c r="E12" s="5"/>
      <c r="F12" s="5"/>
      <c r="H12" s="24"/>
      <c r="I12" s="1" t="s">
        <v>57</v>
      </c>
      <c r="J12" s="1"/>
      <c r="K12" s="1"/>
      <c r="L12" s="1"/>
      <c r="M12" s="1"/>
      <c r="N12" s="1"/>
      <c r="Q12" s="59"/>
    </row>
    <row r="13" spans="1:17 16367:16367" ht="12" hidden="1" customHeight="1" x14ac:dyDescent="0.25">
      <c r="G13" s="9"/>
      <c r="H13" s="24"/>
      <c r="I13" s="1" t="s">
        <v>57</v>
      </c>
      <c r="O13" s="4"/>
      <c r="P13" s="4"/>
      <c r="Q13" s="59"/>
    </row>
    <row r="14" spans="1:17 16367:16367" x14ac:dyDescent="0.25">
      <c r="G14" s="7" t="s">
        <v>30</v>
      </c>
      <c r="H14" s="24"/>
      <c r="I14" s="1" t="s">
        <v>65</v>
      </c>
      <c r="M14" s="1">
        <v>100</v>
      </c>
      <c r="N14" s="1">
        <v>360</v>
      </c>
      <c r="O14" s="4"/>
      <c r="P14" s="4"/>
      <c r="Q14" s="59"/>
    </row>
    <row r="15" spans="1:17 16367:16367" x14ac:dyDescent="0.25">
      <c r="B15" s="25"/>
      <c r="C15" s="25"/>
      <c r="D15" s="47"/>
      <c r="E15" s="48"/>
      <c r="F15" s="25"/>
      <c r="G15" s="25"/>
      <c r="H15" s="24"/>
      <c r="I15" s="1" t="s">
        <v>65</v>
      </c>
      <c r="O15" s="4"/>
      <c r="P15" s="4"/>
      <c r="Q15" s="4"/>
    </row>
    <row r="16" spans="1:17 16367:16367" x14ac:dyDescent="0.25">
      <c r="B16" s="139">
        <f>+'Rev Input'!B10</f>
        <v>100</v>
      </c>
      <c r="C16" s="139">
        <f>+'Rev Input'!C10</f>
        <v>3300</v>
      </c>
      <c r="D16" s="47">
        <f>+'Rev Input'!D10</f>
        <v>0</v>
      </c>
      <c r="E16" s="48">
        <f>+'Rev Input'!E10</f>
        <v>0</v>
      </c>
      <c r="F16" s="25"/>
      <c r="G16" s="25" t="str">
        <f>+'Rev Input'!F10</f>
        <v>FEFP - Bay Cty Sch Dist</v>
      </c>
      <c r="H16" s="24">
        <f>+'Rev Input'!J10</f>
        <v>730378</v>
      </c>
      <c r="I16" s="1" t="str">
        <f t="shared" ref="I16" si="0">IF(SUM(H16)&gt;0.49,"*","")</f>
        <v>*</v>
      </c>
      <c r="M16" s="88">
        <f>IF($B16=M$14,$H16,0)</f>
        <v>730378</v>
      </c>
      <c r="N16" s="88">
        <f>IF($B16=N$14,$H16,0)</f>
        <v>0</v>
      </c>
      <c r="O16" s="4"/>
      <c r="P16" s="4"/>
      <c r="Q16" s="4"/>
    </row>
    <row r="17" spans="2:17" hidden="1" x14ac:dyDescent="0.25">
      <c r="B17" s="139">
        <f>+'Rev Input'!B11</f>
        <v>100</v>
      </c>
      <c r="C17" s="139">
        <f>+'Rev Input'!C11</f>
        <v>3121</v>
      </c>
      <c r="D17" s="47">
        <f>+'Rev Input'!D11</f>
        <v>0</v>
      </c>
      <c r="E17" s="48">
        <f>+'Rev Input'!E11</f>
        <v>0</v>
      </c>
      <c r="F17" s="25"/>
      <c r="G17" s="25" t="str">
        <f>+'Rev Input'!F11</f>
        <v>Federal Impact Funds</v>
      </c>
      <c r="H17" s="24">
        <f>+'Rev Input'!J11</f>
        <v>0</v>
      </c>
      <c r="I17" s="1" t="str">
        <f t="shared" ref="I17:I32" si="1">IF(SUM(H17)&gt;0.49,"*","")</f>
        <v/>
      </c>
      <c r="M17" s="88">
        <f t="shared" ref="M17:N80" si="2">IF($B17=M$14,$H17,0)</f>
        <v>0</v>
      </c>
      <c r="N17" s="88">
        <f t="shared" si="2"/>
        <v>0</v>
      </c>
      <c r="O17" s="4"/>
      <c r="P17" s="4"/>
      <c r="Q17" s="4"/>
    </row>
    <row r="18" spans="2:17" x14ac:dyDescent="0.25">
      <c r="B18" s="139">
        <f>+'Rev Input'!B12</f>
        <v>100</v>
      </c>
      <c r="C18" s="139">
        <f>+'Rev Input'!C12</f>
        <v>3230</v>
      </c>
      <c r="D18" s="47">
        <f>+'Rev Input'!D12</f>
        <v>0</v>
      </c>
      <c r="E18" s="48">
        <f>+'Rev Input'!E12</f>
        <v>0</v>
      </c>
      <c r="F18" s="25"/>
      <c r="G18" s="25" t="str">
        <f>+'Rev Input'!F12</f>
        <v>IDEA</v>
      </c>
      <c r="H18" s="24">
        <f>+'Rev Input'!J12</f>
        <v>60000</v>
      </c>
      <c r="I18" s="1" t="str">
        <f t="shared" si="1"/>
        <v>*</v>
      </c>
      <c r="M18" s="88">
        <f t="shared" si="2"/>
        <v>60000</v>
      </c>
      <c r="N18" s="88">
        <f t="shared" si="2"/>
        <v>0</v>
      </c>
      <c r="O18" s="4"/>
      <c r="P18" s="4"/>
      <c r="Q18" s="4"/>
    </row>
    <row r="19" spans="2:17" hidden="1" x14ac:dyDescent="0.25">
      <c r="B19" s="139">
        <f>+'Rev Input'!B13</f>
        <v>100</v>
      </c>
      <c r="C19" s="139">
        <f>+'Rev Input'!C13</f>
        <v>3355</v>
      </c>
      <c r="D19" s="47">
        <f>+'Rev Input'!D13</f>
        <v>0</v>
      </c>
      <c r="E19" s="48">
        <f>+'Rev Input'!E13</f>
        <v>0</v>
      </c>
      <c r="F19" s="25"/>
      <c r="G19" s="25" t="str">
        <f>+'Rev Input'!F13</f>
        <v>Class Size Reduction</v>
      </c>
      <c r="H19" s="24">
        <f>+'Rev Input'!J13</f>
        <v>0</v>
      </c>
      <c r="I19" s="1" t="str">
        <f t="shared" si="1"/>
        <v/>
      </c>
      <c r="M19" s="88">
        <f t="shared" si="2"/>
        <v>0</v>
      </c>
      <c r="N19" s="88">
        <f t="shared" si="2"/>
        <v>0</v>
      </c>
      <c r="O19" s="4"/>
      <c r="P19" s="4"/>
      <c r="Q19" s="4"/>
    </row>
    <row r="20" spans="2:17" x14ac:dyDescent="0.25">
      <c r="B20" s="139">
        <f>+'Rev Input'!B14</f>
        <v>100</v>
      </c>
      <c r="C20" s="139">
        <f>+'Rev Input'!C14</f>
        <v>3390</v>
      </c>
      <c r="D20" s="47">
        <f>+'Rev Input'!D14</f>
        <v>0</v>
      </c>
      <c r="E20" s="48">
        <f>+'Rev Input'!E14</f>
        <v>0</v>
      </c>
      <c r="F20" s="25"/>
      <c r="G20" s="25" t="str">
        <f>+'Rev Input'!F14</f>
        <v>VR Grant</v>
      </c>
      <c r="H20" s="24">
        <f>+'Rev Input'!J14</f>
        <v>73200</v>
      </c>
      <c r="I20" s="1" t="str">
        <f t="shared" si="1"/>
        <v>*</v>
      </c>
      <c r="M20" s="88">
        <f t="shared" si="2"/>
        <v>73200</v>
      </c>
      <c r="N20" s="88">
        <f t="shared" si="2"/>
        <v>0</v>
      </c>
      <c r="O20" s="4"/>
      <c r="P20" s="4"/>
      <c r="Q20" s="4"/>
    </row>
    <row r="21" spans="2:17" hidden="1" x14ac:dyDescent="0.25">
      <c r="B21" s="139">
        <f>+'Rev Input'!B15</f>
        <v>100</v>
      </c>
      <c r="C21" s="139">
        <f>+'Rev Input'!C15</f>
        <v>3400</v>
      </c>
      <c r="D21" s="47">
        <f>+'Rev Input'!D15</f>
        <v>0</v>
      </c>
      <c r="E21" s="48">
        <f>+'Rev Input'!E15</f>
        <v>0</v>
      </c>
      <c r="F21" s="25"/>
      <c r="G21" s="25" t="str">
        <f>+'Rev Input'!F15</f>
        <v>Interest Income</v>
      </c>
      <c r="H21" s="24">
        <f>+'Rev Input'!J15</f>
        <v>0</v>
      </c>
      <c r="I21" s="1" t="str">
        <f t="shared" si="1"/>
        <v/>
      </c>
      <c r="M21" s="88">
        <f t="shared" si="2"/>
        <v>0</v>
      </c>
      <c r="N21" s="88">
        <f t="shared" si="2"/>
        <v>0</v>
      </c>
    </row>
    <row r="22" spans="2:17" x14ac:dyDescent="0.25">
      <c r="B22" s="139">
        <f>+'Rev Input'!B16</f>
        <v>100</v>
      </c>
      <c r="C22" s="139">
        <f>+'Rev Input'!C16</f>
        <v>3473</v>
      </c>
      <c r="D22" s="47">
        <f>+'Rev Input'!D16</f>
        <v>0</v>
      </c>
      <c r="E22" s="48">
        <f>+'Rev Input'!E16</f>
        <v>0</v>
      </c>
      <c r="F22" s="25"/>
      <c r="G22" s="25" t="str">
        <f>+'Rev Input'!F16</f>
        <v>Other Misc Revenue</v>
      </c>
      <c r="H22" s="24">
        <f>+'Rev Input'!J16</f>
        <v>28105.26</v>
      </c>
      <c r="I22" s="1" t="str">
        <f t="shared" si="1"/>
        <v>*</v>
      </c>
      <c r="M22" s="88">
        <f t="shared" si="2"/>
        <v>28105.26</v>
      </c>
      <c r="N22" s="88">
        <f t="shared" si="2"/>
        <v>0</v>
      </c>
    </row>
    <row r="23" spans="2:17" x14ac:dyDescent="0.25">
      <c r="B23" s="139">
        <f>+'Rev Input'!B17</f>
        <v>100</v>
      </c>
      <c r="C23" s="139">
        <f>+'Rev Input'!C17</f>
        <v>3476</v>
      </c>
      <c r="D23" s="47">
        <f>+'Rev Input'!D17</f>
        <v>0</v>
      </c>
      <c r="E23" s="48">
        <f>+'Rev Input'!E17</f>
        <v>0</v>
      </c>
      <c r="F23" s="25"/>
      <c r="G23" s="25" t="str">
        <f>+'Rev Input'!F17</f>
        <v>Field Trips</v>
      </c>
      <c r="H23" s="24">
        <f>+'Rev Input'!J17</f>
        <v>520</v>
      </c>
      <c r="I23" s="1" t="str">
        <f t="shared" si="1"/>
        <v>*</v>
      </c>
      <c r="M23" s="88">
        <f t="shared" si="2"/>
        <v>520</v>
      </c>
      <c r="N23" s="88">
        <f t="shared" si="2"/>
        <v>0</v>
      </c>
    </row>
    <row r="24" spans="2:17" x14ac:dyDescent="0.25">
      <c r="B24" s="139">
        <f>+'Rev Input'!B18</f>
        <v>100</v>
      </c>
      <c r="C24" s="139">
        <f>+'Rev Input'!C18</f>
        <v>3600</v>
      </c>
      <c r="D24" s="47">
        <f>+'Rev Input'!D18</f>
        <v>0</v>
      </c>
      <c r="E24" s="48">
        <f>+'Rev Input'!E18</f>
        <v>0</v>
      </c>
      <c r="F24" s="25"/>
      <c r="G24" s="25" t="str">
        <f>+'Rev Input'!F18</f>
        <v>Donations</v>
      </c>
      <c r="H24" s="24">
        <f>+'Rev Input'!J18</f>
        <v>82589.989999999991</v>
      </c>
      <c r="I24" s="1" t="str">
        <f t="shared" si="1"/>
        <v>*</v>
      </c>
      <c r="M24" s="88">
        <f t="shared" si="2"/>
        <v>82589.989999999991</v>
      </c>
      <c r="N24" s="88">
        <f t="shared" si="2"/>
        <v>0</v>
      </c>
    </row>
    <row r="25" spans="2:17" x14ac:dyDescent="0.25">
      <c r="B25" s="139">
        <f>+'Rev Input'!B19</f>
        <v>360</v>
      </c>
      <c r="C25" s="139">
        <f>+'Rev Input'!C19</f>
        <v>3397</v>
      </c>
      <c r="D25" s="47">
        <f>+'Rev Input'!D19</f>
        <v>0</v>
      </c>
      <c r="E25" s="48">
        <f>+'Rev Input'!E19</f>
        <v>0</v>
      </c>
      <c r="F25" s="25"/>
      <c r="G25" s="25" t="str">
        <f>+'Rev Input'!F19</f>
        <v>Capital Outlay</v>
      </c>
      <c r="H25" s="24">
        <f>+'Rev Input'!J19</f>
        <v>22470.191999999999</v>
      </c>
      <c r="I25" s="1" t="str">
        <f t="shared" si="1"/>
        <v>*</v>
      </c>
      <c r="M25" s="88">
        <f t="shared" si="2"/>
        <v>0</v>
      </c>
      <c r="N25" s="88">
        <f t="shared" si="2"/>
        <v>22470.191999999999</v>
      </c>
    </row>
    <row r="26" spans="2:17" hidden="1" x14ac:dyDescent="0.25">
      <c r="B26" s="139">
        <f>+'Rev Input'!B20</f>
        <v>360</v>
      </c>
      <c r="C26" s="139">
        <f>+'Rev Input'!C20</f>
        <v>3413</v>
      </c>
      <c r="D26" s="47">
        <f>+'Rev Input'!D20</f>
        <v>0</v>
      </c>
      <c r="E26" s="48">
        <f>+'Rev Input'!E20</f>
        <v>0</v>
      </c>
      <c r="F26" s="25"/>
      <c r="G26" s="25" t="str">
        <f>+'Rev Input'!F20</f>
        <v>District Local Capital Improvement Tax</v>
      </c>
      <c r="H26" s="24">
        <f>+'Rev Input'!J20</f>
        <v>0</v>
      </c>
      <c r="I26" s="1" t="str">
        <f t="shared" si="1"/>
        <v/>
      </c>
      <c r="M26" s="88">
        <f t="shared" si="2"/>
        <v>0</v>
      </c>
      <c r="N26" s="88">
        <f t="shared" si="2"/>
        <v>0</v>
      </c>
    </row>
    <row r="27" spans="2:17" hidden="1" x14ac:dyDescent="0.25">
      <c r="B27" s="25"/>
      <c r="C27" s="25"/>
      <c r="D27" s="47"/>
      <c r="E27" s="48"/>
      <c r="F27" s="25"/>
      <c r="G27" s="25"/>
      <c r="H27" s="24"/>
      <c r="I27" s="1" t="str">
        <f t="shared" si="1"/>
        <v/>
      </c>
      <c r="M27" s="88">
        <f t="shared" si="2"/>
        <v>0</v>
      </c>
      <c r="N27" s="88">
        <f t="shared" si="2"/>
        <v>0</v>
      </c>
    </row>
    <row r="28" spans="2:17" hidden="1" x14ac:dyDescent="0.25">
      <c r="B28" s="25"/>
      <c r="C28" s="25"/>
      <c r="D28" s="47"/>
      <c r="E28" s="48"/>
      <c r="F28" s="25"/>
      <c r="G28" s="25"/>
      <c r="H28" s="24"/>
      <c r="I28" s="1" t="str">
        <f t="shared" si="1"/>
        <v/>
      </c>
      <c r="M28" s="88">
        <f t="shared" si="2"/>
        <v>0</v>
      </c>
      <c r="N28" s="88">
        <f t="shared" si="2"/>
        <v>0</v>
      </c>
    </row>
    <row r="29" spans="2:17" hidden="1" x14ac:dyDescent="0.25">
      <c r="B29" s="25"/>
      <c r="C29" s="25"/>
      <c r="D29" s="47"/>
      <c r="E29" s="48"/>
      <c r="F29" s="25"/>
      <c r="G29" s="25"/>
      <c r="H29" s="24"/>
      <c r="I29" s="1" t="str">
        <f t="shared" si="1"/>
        <v/>
      </c>
      <c r="M29" s="88">
        <f t="shared" si="2"/>
        <v>0</v>
      </c>
      <c r="N29" s="88">
        <f t="shared" si="2"/>
        <v>0</v>
      </c>
    </row>
    <row r="30" spans="2:17" hidden="1" x14ac:dyDescent="0.25">
      <c r="B30" s="25"/>
      <c r="C30" s="25"/>
      <c r="D30" s="47"/>
      <c r="E30" s="48"/>
      <c r="F30" s="25"/>
      <c r="G30" s="25"/>
      <c r="H30" s="24"/>
      <c r="I30" s="1" t="str">
        <f t="shared" si="1"/>
        <v/>
      </c>
      <c r="M30" s="88">
        <f t="shared" si="2"/>
        <v>0</v>
      </c>
      <c r="N30" s="88">
        <f t="shared" si="2"/>
        <v>0</v>
      </c>
    </row>
    <row r="31" spans="2:17" hidden="1" x14ac:dyDescent="0.25">
      <c r="B31" s="25"/>
      <c r="C31" s="25"/>
      <c r="D31" s="47"/>
      <c r="E31" s="48"/>
      <c r="F31" s="25"/>
      <c r="G31" s="25"/>
      <c r="H31" s="24"/>
      <c r="I31" s="1" t="str">
        <f t="shared" si="1"/>
        <v/>
      </c>
      <c r="M31" s="88">
        <f t="shared" si="2"/>
        <v>0</v>
      </c>
      <c r="N31" s="88">
        <f t="shared" si="2"/>
        <v>0</v>
      </c>
    </row>
    <row r="32" spans="2:17" hidden="1" x14ac:dyDescent="0.25">
      <c r="B32" s="25"/>
      <c r="C32" s="25"/>
      <c r="D32" s="47"/>
      <c r="E32" s="48"/>
      <c r="F32" s="25"/>
      <c r="G32" s="25"/>
      <c r="H32" s="24"/>
      <c r="I32" s="1" t="str">
        <f t="shared" si="1"/>
        <v/>
      </c>
      <c r="M32" s="88">
        <f t="shared" si="2"/>
        <v>0</v>
      </c>
      <c r="N32" s="88">
        <f t="shared" si="2"/>
        <v>0</v>
      </c>
    </row>
    <row r="33" spans="1:14" hidden="1" x14ac:dyDescent="0.25">
      <c r="B33" s="25"/>
      <c r="C33" s="25"/>
      <c r="D33" s="47"/>
      <c r="E33" s="48"/>
      <c r="F33" s="25"/>
      <c r="G33" s="25"/>
      <c r="H33" s="24"/>
      <c r="I33" s="1" t="str">
        <f>IF(SUM(H33:H33)&gt;0.49,"*","")</f>
        <v/>
      </c>
      <c r="M33" s="88">
        <f t="shared" si="2"/>
        <v>0</v>
      </c>
      <c r="N33" s="88">
        <f t="shared" si="2"/>
        <v>0</v>
      </c>
    </row>
    <row r="34" spans="1:14" hidden="1" x14ac:dyDescent="0.25">
      <c r="A34" s="63"/>
      <c r="B34" s="31"/>
      <c r="C34" s="31"/>
      <c r="D34" s="68"/>
      <c r="E34" s="69"/>
      <c r="F34" s="31"/>
      <c r="G34" s="31"/>
      <c r="H34" s="58"/>
      <c r="I34" s="1" t="str">
        <f>IF(SUM(H34)&gt;0.49,"*","")</f>
        <v/>
      </c>
      <c r="M34" s="88">
        <f t="shared" si="2"/>
        <v>0</v>
      </c>
      <c r="N34" s="88">
        <f t="shared" si="2"/>
        <v>0</v>
      </c>
    </row>
    <row r="35" spans="1:14" hidden="1" x14ac:dyDescent="0.25">
      <c r="A35" s="63"/>
      <c r="B35" s="31"/>
      <c r="C35" s="31"/>
      <c r="D35" s="68"/>
      <c r="E35" s="69"/>
      <c r="F35" s="31"/>
      <c r="G35" s="31"/>
      <c r="H35" s="58"/>
      <c r="M35" s="88">
        <f t="shared" si="2"/>
        <v>0</v>
      </c>
      <c r="N35" s="88">
        <f t="shared" si="2"/>
        <v>0</v>
      </c>
    </row>
    <row r="36" spans="1:14" hidden="1" x14ac:dyDescent="0.25">
      <c r="A36" s="63"/>
      <c r="B36" s="31"/>
      <c r="C36" s="31"/>
      <c r="D36" s="68"/>
      <c r="E36" s="69"/>
      <c r="F36" s="31"/>
      <c r="G36" s="31"/>
      <c r="H36" s="58"/>
      <c r="M36" s="88">
        <f t="shared" si="2"/>
        <v>0</v>
      </c>
      <c r="N36" s="88">
        <f t="shared" si="2"/>
        <v>0</v>
      </c>
    </row>
    <row r="37" spans="1:14" hidden="1" x14ac:dyDescent="0.25">
      <c r="A37" s="63"/>
      <c r="B37" s="31"/>
      <c r="C37" s="31"/>
      <c r="D37" s="68"/>
      <c r="E37" s="69"/>
      <c r="F37" s="31"/>
      <c r="G37" s="31"/>
      <c r="H37" s="58"/>
      <c r="M37" s="88">
        <f t="shared" si="2"/>
        <v>0</v>
      </c>
      <c r="N37" s="88">
        <f t="shared" si="2"/>
        <v>0</v>
      </c>
    </row>
    <row r="38" spans="1:14" hidden="1" x14ac:dyDescent="0.25">
      <c r="B38" s="25"/>
      <c r="C38" s="25"/>
      <c r="D38" s="47"/>
      <c r="E38" s="48"/>
      <c r="F38" s="25"/>
      <c r="G38" s="25"/>
      <c r="H38" s="24"/>
      <c r="I38" s="1" t="str">
        <f>IF(SUM(H38:H38)&gt;0.49,"*","")</f>
        <v/>
      </c>
      <c r="M38" s="88">
        <f t="shared" si="2"/>
        <v>0</v>
      </c>
      <c r="N38" s="88">
        <f t="shared" si="2"/>
        <v>0</v>
      </c>
    </row>
    <row r="39" spans="1:14" hidden="1" x14ac:dyDescent="0.25">
      <c r="B39" s="25"/>
      <c r="C39" s="25"/>
      <c r="D39" s="47"/>
      <c r="E39" s="48"/>
      <c r="F39" s="25"/>
      <c r="G39" s="25"/>
      <c r="H39" s="24"/>
      <c r="I39" s="1" t="str">
        <f>IF(SUM(H39:H39)&gt;0.49,"*","")</f>
        <v/>
      </c>
      <c r="M39" s="88">
        <f t="shared" si="2"/>
        <v>0</v>
      </c>
      <c r="N39" s="88">
        <f t="shared" si="2"/>
        <v>0</v>
      </c>
    </row>
    <row r="40" spans="1:14" x14ac:dyDescent="0.25">
      <c r="B40" s="25"/>
      <c r="C40" s="25"/>
      <c r="D40" s="25"/>
      <c r="E40" s="25"/>
      <c r="F40" s="25"/>
      <c r="G40" s="25"/>
      <c r="H40" s="21"/>
      <c r="I40" s="1" t="str">
        <f>IF(I41="*","*","")</f>
        <v>*</v>
      </c>
      <c r="M40" s="88">
        <f t="shared" si="2"/>
        <v>0</v>
      </c>
      <c r="N40" s="88">
        <f t="shared" si="2"/>
        <v>0</v>
      </c>
    </row>
    <row r="41" spans="1:14" ht="15" customHeight="1" x14ac:dyDescent="0.25">
      <c r="G41" s="10" t="s">
        <v>31</v>
      </c>
      <c r="H41" s="23">
        <f t="shared" ref="H41" si="3">SUM(H15:H40)</f>
        <v>997263.44200000004</v>
      </c>
      <c r="I41" s="1" t="str">
        <f>IF(SUM(H41)&gt;0.49,"*","")</f>
        <v>*</v>
      </c>
      <c r="M41" s="88">
        <f>SUM(M16:M40)</f>
        <v>974793.25</v>
      </c>
      <c r="N41" s="88">
        <f>SUM(N16:N40)</f>
        <v>22470.191999999999</v>
      </c>
    </row>
    <row r="42" spans="1:14" x14ac:dyDescent="0.25">
      <c r="G42" s="10"/>
      <c r="I42" s="1" t="s">
        <v>65</v>
      </c>
      <c r="M42" s="88"/>
      <c r="N42" s="88"/>
    </row>
    <row r="43" spans="1:14" x14ac:dyDescent="0.25">
      <c r="G43" s="9" t="s">
        <v>32</v>
      </c>
      <c r="I43" s="1" t="s">
        <v>65</v>
      </c>
      <c r="M43" s="88"/>
      <c r="N43" s="88"/>
    </row>
    <row r="44" spans="1:14" x14ac:dyDescent="0.25">
      <c r="B44" s="1"/>
      <c r="C44" s="1"/>
      <c r="D44" s="1"/>
      <c r="E44" s="1"/>
      <c r="F44" s="1"/>
      <c r="I44" s="1" t="s">
        <v>65</v>
      </c>
      <c r="M44" s="88"/>
      <c r="N44" s="88"/>
    </row>
    <row r="45" spans="1:14" hidden="1" x14ac:dyDescent="0.25">
      <c r="A45" s="19">
        <v>1</v>
      </c>
      <c r="B45" s="25">
        <v>100</v>
      </c>
      <c r="C45" s="25">
        <v>4000</v>
      </c>
      <c r="D45" s="25">
        <v>5100</v>
      </c>
      <c r="E45" s="25">
        <v>120</v>
      </c>
      <c r="F45" s="25"/>
      <c r="G45" s="25" t="s">
        <v>0</v>
      </c>
      <c r="H45" s="58"/>
      <c r="I45" s="1" t="str">
        <f t="shared" ref="I45:I68" si="4">IF(SUM(H45)&gt;0.49,"*","")</f>
        <v/>
      </c>
      <c r="M45" s="88">
        <f t="shared" si="2"/>
        <v>0</v>
      </c>
      <c r="N45" s="88">
        <f t="shared" si="2"/>
        <v>0</v>
      </c>
    </row>
    <row r="46" spans="1:14" hidden="1" x14ac:dyDescent="0.25">
      <c r="A46" s="19">
        <v>1</v>
      </c>
      <c r="B46" s="25">
        <v>100</v>
      </c>
      <c r="C46" s="25">
        <v>4000</v>
      </c>
      <c r="D46" s="25">
        <v>5100</v>
      </c>
      <c r="E46" s="25">
        <v>150</v>
      </c>
      <c r="F46" s="25"/>
      <c r="G46" s="25" t="s">
        <v>1</v>
      </c>
      <c r="H46" s="58"/>
      <c r="I46" s="1" t="str">
        <f t="shared" si="4"/>
        <v/>
      </c>
      <c r="M46" s="88">
        <f t="shared" si="2"/>
        <v>0</v>
      </c>
      <c r="N46" s="88">
        <f t="shared" si="2"/>
        <v>0</v>
      </c>
    </row>
    <row r="47" spans="1:14" hidden="1" x14ac:dyDescent="0.25">
      <c r="A47" s="19">
        <v>1</v>
      </c>
      <c r="B47" s="25">
        <v>100</v>
      </c>
      <c r="C47" s="25">
        <v>4000</v>
      </c>
      <c r="D47" s="25">
        <v>5100</v>
      </c>
      <c r="E47" s="25">
        <v>210</v>
      </c>
      <c r="F47" s="25"/>
      <c r="G47" s="25" t="s">
        <v>49</v>
      </c>
      <c r="H47" s="58"/>
      <c r="I47" s="1" t="str">
        <f t="shared" si="4"/>
        <v/>
      </c>
      <c r="M47" s="88">
        <f t="shared" si="2"/>
        <v>0</v>
      </c>
      <c r="N47" s="88">
        <f t="shared" si="2"/>
        <v>0</v>
      </c>
    </row>
    <row r="48" spans="1:14" hidden="1" x14ac:dyDescent="0.25">
      <c r="A48" s="19">
        <v>1</v>
      </c>
      <c r="B48" s="25">
        <v>100</v>
      </c>
      <c r="C48" s="25">
        <v>4000</v>
      </c>
      <c r="D48" s="25">
        <v>5100</v>
      </c>
      <c r="E48" s="25">
        <v>220</v>
      </c>
      <c r="F48" s="25"/>
      <c r="G48" s="25" t="s">
        <v>50</v>
      </c>
      <c r="H48" s="58"/>
      <c r="I48" s="1" t="str">
        <f t="shared" si="4"/>
        <v/>
      </c>
      <c r="M48" s="88">
        <f t="shared" si="2"/>
        <v>0</v>
      </c>
      <c r="N48" s="88">
        <f t="shared" si="2"/>
        <v>0</v>
      </c>
    </row>
    <row r="49" spans="1:14" hidden="1" x14ac:dyDescent="0.25">
      <c r="A49" s="19">
        <v>1</v>
      </c>
      <c r="B49" s="25">
        <v>100</v>
      </c>
      <c r="C49" s="25">
        <v>4000</v>
      </c>
      <c r="D49" s="25">
        <v>5100</v>
      </c>
      <c r="E49" s="25">
        <v>230</v>
      </c>
      <c r="F49" s="25"/>
      <c r="G49" s="25" t="s">
        <v>51</v>
      </c>
      <c r="H49" s="58"/>
      <c r="I49" s="1" t="str">
        <f t="shared" si="4"/>
        <v/>
      </c>
      <c r="M49" s="88">
        <f t="shared" si="2"/>
        <v>0</v>
      </c>
      <c r="N49" s="88">
        <f t="shared" si="2"/>
        <v>0</v>
      </c>
    </row>
    <row r="50" spans="1:14" hidden="1" x14ac:dyDescent="0.25">
      <c r="A50" s="19">
        <v>1</v>
      </c>
      <c r="B50" s="25">
        <v>100</v>
      </c>
      <c r="C50" s="25">
        <v>4000</v>
      </c>
      <c r="D50" s="25">
        <v>5100</v>
      </c>
      <c r="E50" s="25">
        <v>240</v>
      </c>
      <c r="F50" s="25"/>
      <c r="G50" s="25" t="s">
        <v>52</v>
      </c>
      <c r="H50" s="58"/>
      <c r="I50" s="1" t="str">
        <f t="shared" si="4"/>
        <v/>
      </c>
      <c r="M50" s="88">
        <f t="shared" si="2"/>
        <v>0</v>
      </c>
      <c r="N50" s="88">
        <f t="shared" si="2"/>
        <v>0</v>
      </c>
    </row>
    <row r="51" spans="1:14" hidden="1" x14ac:dyDescent="0.25">
      <c r="A51" s="19">
        <v>1</v>
      </c>
      <c r="B51" s="25">
        <v>100</v>
      </c>
      <c r="C51" s="25">
        <v>4000</v>
      </c>
      <c r="D51" s="25">
        <v>5100</v>
      </c>
      <c r="E51" s="25">
        <v>250</v>
      </c>
      <c r="F51" s="25"/>
      <c r="G51" s="25" t="s">
        <v>53</v>
      </c>
      <c r="H51" s="58"/>
      <c r="I51" s="1" t="str">
        <f t="shared" si="4"/>
        <v/>
      </c>
      <c r="M51" s="88">
        <f t="shared" si="2"/>
        <v>0</v>
      </c>
      <c r="N51" s="88">
        <f t="shared" si="2"/>
        <v>0</v>
      </c>
    </row>
    <row r="52" spans="1:14" s="64" customFormat="1" hidden="1" x14ac:dyDescent="0.25">
      <c r="A52" s="63"/>
      <c r="B52" s="31"/>
      <c r="C52" s="31"/>
      <c r="D52" s="31"/>
      <c r="E52" s="31"/>
      <c r="F52" s="31"/>
      <c r="G52" s="31"/>
      <c r="H52" s="58"/>
      <c r="I52" s="1" t="str">
        <f t="shared" si="4"/>
        <v/>
      </c>
      <c r="J52" s="1"/>
      <c r="K52" s="1"/>
      <c r="L52" s="1"/>
      <c r="M52" s="88">
        <f t="shared" si="2"/>
        <v>0</v>
      </c>
      <c r="N52" s="88">
        <f t="shared" si="2"/>
        <v>0</v>
      </c>
    </row>
    <row r="53" spans="1:14" hidden="1" x14ac:dyDescent="0.25">
      <c r="A53" s="19"/>
      <c r="B53" s="25"/>
      <c r="C53" s="25"/>
      <c r="D53" s="25"/>
      <c r="E53" s="25"/>
      <c r="F53" s="25"/>
      <c r="G53" s="25"/>
      <c r="H53" s="24"/>
      <c r="I53" s="1" t="str">
        <f t="shared" si="4"/>
        <v/>
      </c>
      <c r="M53" s="88">
        <f t="shared" si="2"/>
        <v>0</v>
      </c>
      <c r="N53" s="88">
        <f t="shared" si="2"/>
        <v>0</v>
      </c>
    </row>
    <row r="54" spans="1:14" hidden="1" x14ac:dyDescent="0.25">
      <c r="A54" s="19"/>
      <c r="B54" s="31"/>
      <c r="C54" s="31"/>
      <c r="D54" s="31"/>
      <c r="E54" s="31"/>
      <c r="F54" s="31"/>
      <c r="G54" s="31"/>
      <c r="H54" s="58"/>
      <c r="I54" s="1" t="str">
        <f t="shared" si="4"/>
        <v/>
      </c>
      <c r="M54" s="88">
        <f t="shared" si="2"/>
        <v>0</v>
      </c>
      <c r="N54" s="88">
        <f t="shared" si="2"/>
        <v>0</v>
      </c>
    </row>
    <row r="55" spans="1:14" hidden="1" x14ac:dyDescent="0.25">
      <c r="A55" s="19"/>
      <c r="B55" s="31"/>
      <c r="C55" s="31"/>
      <c r="D55" s="31"/>
      <c r="E55" s="31"/>
      <c r="F55" s="31"/>
      <c r="G55" s="31"/>
      <c r="H55" s="58"/>
      <c r="I55" s="1" t="str">
        <f t="shared" si="4"/>
        <v/>
      </c>
      <c r="M55" s="88">
        <f t="shared" si="2"/>
        <v>0</v>
      </c>
      <c r="N55" s="88">
        <f t="shared" si="2"/>
        <v>0</v>
      </c>
    </row>
    <row r="56" spans="1:14" hidden="1" x14ac:dyDescent="0.25">
      <c r="A56" s="19"/>
      <c r="B56" s="25"/>
      <c r="C56" s="25"/>
      <c r="D56" s="25"/>
      <c r="E56" s="25"/>
      <c r="F56" s="25"/>
      <c r="G56" s="25"/>
      <c r="H56" s="24"/>
      <c r="I56" s="1" t="str">
        <f t="shared" si="4"/>
        <v/>
      </c>
      <c r="M56" s="88">
        <f t="shared" si="2"/>
        <v>0</v>
      </c>
      <c r="N56" s="88">
        <f t="shared" si="2"/>
        <v>0</v>
      </c>
    </row>
    <row r="57" spans="1:14" hidden="1" x14ac:dyDescent="0.25">
      <c r="A57" s="19"/>
      <c r="B57" s="25"/>
      <c r="C57" s="25"/>
      <c r="D57" s="25"/>
      <c r="E57" s="25"/>
      <c r="F57" s="25"/>
      <c r="G57" s="25"/>
      <c r="H57" s="24"/>
      <c r="I57" s="1" t="str">
        <f t="shared" si="4"/>
        <v/>
      </c>
      <c r="M57" s="88">
        <f t="shared" si="2"/>
        <v>0</v>
      </c>
      <c r="N57" s="88">
        <f t="shared" si="2"/>
        <v>0</v>
      </c>
    </row>
    <row r="58" spans="1:14" hidden="1" x14ac:dyDescent="0.25">
      <c r="A58" s="19"/>
      <c r="B58" s="25"/>
      <c r="C58" s="25"/>
      <c r="D58" s="25"/>
      <c r="E58" s="25"/>
      <c r="F58" s="25"/>
      <c r="G58" s="25"/>
      <c r="H58" s="24"/>
      <c r="I58" s="1" t="str">
        <f t="shared" si="4"/>
        <v/>
      </c>
      <c r="M58" s="88">
        <f t="shared" si="2"/>
        <v>0</v>
      </c>
      <c r="N58" s="88">
        <f t="shared" si="2"/>
        <v>0</v>
      </c>
    </row>
    <row r="59" spans="1:14" hidden="1" x14ac:dyDescent="0.25">
      <c r="A59" s="19"/>
      <c r="B59" s="25"/>
      <c r="C59" s="25"/>
      <c r="D59" s="25"/>
      <c r="E59" s="25"/>
      <c r="F59" s="25"/>
      <c r="G59" s="25"/>
      <c r="H59" s="24"/>
      <c r="I59" s="1" t="str">
        <f t="shared" si="4"/>
        <v/>
      </c>
      <c r="M59" s="88">
        <f t="shared" si="2"/>
        <v>0</v>
      </c>
      <c r="N59" s="88">
        <f t="shared" si="2"/>
        <v>0</v>
      </c>
    </row>
    <row r="60" spans="1:14" hidden="1" x14ac:dyDescent="0.25">
      <c r="A60" s="19"/>
      <c r="B60" s="25"/>
      <c r="C60" s="25"/>
      <c r="D60" s="25"/>
      <c r="E60" s="25"/>
      <c r="F60" s="25"/>
      <c r="G60" s="25"/>
      <c r="H60" s="24"/>
      <c r="I60" s="1" t="str">
        <f t="shared" si="4"/>
        <v/>
      </c>
      <c r="M60" s="88">
        <f t="shared" si="2"/>
        <v>0</v>
      </c>
      <c r="N60" s="88">
        <f t="shared" si="2"/>
        <v>0</v>
      </c>
    </row>
    <row r="61" spans="1:14" s="64" customFormat="1" hidden="1" x14ac:dyDescent="0.25">
      <c r="A61" s="61"/>
      <c r="B61" s="31"/>
      <c r="C61" s="31"/>
      <c r="D61" s="31"/>
      <c r="E61" s="31"/>
      <c r="F61" s="31"/>
      <c r="G61" s="31"/>
      <c r="H61" s="58"/>
      <c r="I61" s="1" t="str">
        <f t="shared" si="4"/>
        <v/>
      </c>
      <c r="J61" s="1"/>
      <c r="K61" s="1"/>
      <c r="L61" s="1"/>
      <c r="M61" s="88">
        <f t="shared" si="2"/>
        <v>0</v>
      </c>
      <c r="N61" s="88">
        <f t="shared" si="2"/>
        <v>0</v>
      </c>
    </row>
    <row r="62" spans="1:14" hidden="1" x14ac:dyDescent="0.25">
      <c r="A62" s="19"/>
      <c r="B62" s="25"/>
      <c r="C62" s="25"/>
      <c r="D62" s="25"/>
      <c r="E62" s="25"/>
      <c r="F62" s="25"/>
      <c r="G62" s="25"/>
      <c r="H62" s="24"/>
      <c r="I62" s="1" t="str">
        <f t="shared" si="4"/>
        <v/>
      </c>
      <c r="M62" s="88">
        <f t="shared" si="2"/>
        <v>0</v>
      </c>
      <c r="N62" s="88">
        <f t="shared" si="2"/>
        <v>0</v>
      </c>
    </row>
    <row r="63" spans="1:14" hidden="1" x14ac:dyDescent="0.25">
      <c r="A63" s="19"/>
      <c r="B63" s="25"/>
      <c r="C63" s="25"/>
      <c r="D63" s="25"/>
      <c r="E63" s="25"/>
      <c r="F63" s="25"/>
      <c r="G63" s="25"/>
      <c r="H63" s="24"/>
      <c r="I63" s="1" t="str">
        <f t="shared" si="4"/>
        <v/>
      </c>
      <c r="M63" s="88">
        <f t="shared" si="2"/>
        <v>0</v>
      </c>
      <c r="N63" s="88">
        <f t="shared" si="2"/>
        <v>0</v>
      </c>
    </row>
    <row r="64" spans="1:14" hidden="1" x14ac:dyDescent="0.25">
      <c r="A64" s="19"/>
      <c r="B64" s="25"/>
      <c r="C64" s="25"/>
      <c r="D64" s="25"/>
      <c r="E64" s="25"/>
      <c r="F64" s="25"/>
      <c r="G64" s="25"/>
      <c r="H64" s="24"/>
      <c r="I64" s="1" t="str">
        <f t="shared" si="4"/>
        <v/>
      </c>
      <c r="M64" s="88">
        <f t="shared" si="2"/>
        <v>0</v>
      </c>
      <c r="N64" s="88">
        <f t="shared" si="2"/>
        <v>0</v>
      </c>
    </row>
    <row r="65" spans="1:17" hidden="1" x14ac:dyDescent="0.25">
      <c r="A65" s="19"/>
      <c r="B65" s="25"/>
      <c r="C65" s="25"/>
      <c r="D65" s="25"/>
      <c r="E65" s="25"/>
      <c r="F65" s="25"/>
      <c r="G65" s="25"/>
      <c r="H65" s="24"/>
      <c r="I65" s="1" t="str">
        <f t="shared" si="4"/>
        <v/>
      </c>
      <c r="M65" s="88">
        <f t="shared" si="2"/>
        <v>0</v>
      </c>
      <c r="N65" s="88">
        <f t="shared" si="2"/>
        <v>0</v>
      </c>
    </row>
    <row r="66" spans="1:17" hidden="1" x14ac:dyDescent="0.25">
      <c r="A66" s="19"/>
      <c r="B66" s="25"/>
      <c r="C66" s="25"/>
      <c r="D66" s="25"/>
      <c r="E66" s="25"/>
      <c r="F66" s="25"/>
      <c r="G66" s="25"/>
      <c r="H66" s="24"/>
      <c r="I66" s="1" t="str">
        <f t="shared" si="4"/>
        <v/>
      </c>
      <c r="M66" s="88">
        <f t="shared" si="2"/>
        <v>0</v>
      </c>
      <c r="N66" s="88">
        <f t="shared" si="2"/>
        <v>0</v>
      </c>
    </row>
    <row r="67" spans="1:17" hidden="1" x14ac:dyDescent="0.25">
      <c r="A67" s="61"/>
      <c r="B67" s="25"/>
      <c r="C67" s="25"/>
      <c r="D67" s="25"/>
      <c r="E67" s="25"/>
      <c r="F67" s="25"/>
      <c r="G67" s="25"/>
      <c r="H67" s="58"/>
      <c r="I67" s="1" t="str">
        <f t="shared" si="4"/>
        <v/>
      </c>
      <c r="M67" s="88">
        <f t="shared" si="2"/>
        <v>0</v>
      </c>
      <c r="N67" s="88">
        <f t="shared" si="2"/>
        <v>0</v>
      </c>
    </row>
    <row r="68" spans="1:17" hidden="1" x14ac:dyDescent="0.25">
      <c r="A68" s="19"/>
      <c r="B68" s="25"/>
      <c r="C68" s="25"/>
      <c r="D68" s="25"/>
      <c r="E68" s="25"/>
      <c r="F68" s="25"/>
      <c r="G68" s="25"/>
      <c r="H68" s="58"/>
      <c r="I68" s="1" t="str">
        <f t="shared" si="4"/>
        <v/>
      </c>
      <c r="M68" s="88">
        <f t="shared" si="2"/>
        <v>0</v>
      </c>
      <c r="N68" s="88">
        <f t="shared" si="2"/>
        <v>0</v>
      </c>
    </row>
    <row r="69" spans="1:17" hidden="1" x14ac:dyDescent="0.25">
      <c r="A69" s="19"/>
      <c r="B69" s="25"/>
      <c r="C69" s="25"/>
      <c r="D69" s="25"/>
      <c r="E69" s="25"/>
      <c r="F69" s="25"/>
      <c r="G69" s="25"/>
      <c r="H69" s="26"/>
      <c r="I69" s="1" t="str">
        <f>IF(I70="*","*","")</f>
        <v/>
      </c>
      <c r="M69" s="88">
        <f t="shared" si="2"/>
        <v>0</v>
      </c>
      <c r="N69" s="88">
        <f t="shared" si="2"/>
        <v>0</v>
      </c>
    </row>
    <row r="70" spans="1:17" hidden="1" x14ac:dyDescent="0.25">
      <c r="A70" s="19"/>
      <c r="B70" s="11"/>
      <c r="C70" s="11"/>
      <c r="D70" s="11"/>
      <c r="E70" s="11"/>
      <c r="F70" s="11"/>
      <c r="G70" s="16" t="s">
        <v>33</v>
      </c>
      <c r="H70" s="23">
        <f t="shared" ref="H70" si="5">SUM(H45:H68)</f>
        <v>0</v>
      </c>
      <c r="I70" s="1" t="str">
        <f>IF(SUM(H70)&gt;0.49,"*","")</f>
        <v/>
      </c>
      <c r="M70" s="88">
        <f t="shared" si="2"/>
        <v>0</v>
      </c>
      <c r="N70" s="88">
        <f t="shared" si="2"/>
        <v>0</v>
      </c>
    </row>
    <row r="71" spans="1:17" hidden="1" x14ac:dyDescent="0.25">
      <c r="A71" s="19"/>
      <c r="B71" s="1"/>
      <c r="C71" s="1"/>
      <c r="D71" s="1"/>
      <c r="E71" s="1"/>
      <c r="F71" s="1"/>
      <c r="G71" s="11"/>
      <c r="I71" s="1" t="str">
        <f>IF(I70="*","*","")</f>
        <v/>
      </c>
      <c r="M71" s="88">
        <f t="shared" si="2"/>
        <v>0</v>
      </c>
      <c r="N71" s="88">
        <f t="shared" si="2"/>
        <v>0</v>
      </c>
    </row>
    <row r="72" spans="1:17" x14ac:dyDescent="0.25">
      <c r="A72" s="19">
        <v>1</v>
      </c>
      <c r="B72" s="25">
        <v>100</v>
      </c>
      <c r="C72" s="25">
        <v>4000</v>
      </c>
      <c r="D72" s="25">
        <v>5200</v>
      </c>
      <c r="E72" s="25">
        <v>120</v>
      </c>
      <c r="F72" s="25"/>
      <c r="G72" s="25" t="s">
        <v>93</v>
      </c>
      <c r="H72" s="58">
        <f>+Payroll!E20</f>
        <v>138632.93280000001</v>
      </c>
      <c r="I72" s="1" t="str">
        <f t="shared" ref="I72" si="6">IF(SUM(H72)&gt;0.49,"*","")</f>
        <v>*</v>
      </c>
      <c r="K72" s="8">
        <f>SUM(H72:H80)</f>
        <v>414968.24653936003</v>
      </c>
      <c r="M72" s="88">
        <f t="shared" si="2"/>
        <v>138632.93280000001</v>
      </c>
      <c r="N72" s="88">
        <f t="shared" si="2"/>
        <v>0</v>
      </c>
    </row>
    <row r="73" spans="1:17" x14ac:dyDescent="0.25">
      <c r="A73" s="19">
        <v>1</v>
      </c>
      <c r="B73" s="25">
        <v>100</v>
      </c>
      <c r="C73" s="25">
        <v>4000</v>
      </c>
      <c r="D73" s="25">
        <v>5200</v>
      </c>
      <c r="E73" s="25">
        <v>121</v>
      </c>
      <c r="F73" s="25"/>
      <c r="G73" s="25" t="s">
        <v>173</v>
      </c>
      <c r="H73" s="58">
        <f>+Payroll!E34</f>
        <v>10568.016</v>
      </c>
      <c r="I73" s="1" t="str">
        <f t="shared" ref="I73" si="7">IF(SUM(H73)&gt;0.49,"*","")</f>
        <v>*</v>
      </c>
      <c r="K73" s="89">
        <f>Payroll!M34+Payroll!M57+Payroll!M20</f>
        <v>414968.24653936003</v>
      </c>
      <c r="M73" s="88">
        <f t="shared" si="2"/>
        <v>10568.016</v>
      </c>
      <c r="N73" s="88">
        <f t="shared" si="2"/>
        <v>0</v>
      </c>
    </row>
    <row r="74" spans="1:17" hidden="1" x14ac:dyDescent="0.25">
      <c r="A74" s="19">
        <v>1</v>
      </c>
      <c r="B74" s="25">
        <v>100</v>
      </c>
      <c r="C74" s="25">
        <v>4000</v>
      </c>
      <c r="D74" s="25">
        <v>5200</v>
      </c>
      <c r="E74" s="25">
        <v>150</v>
      </c>
      <c r="F74" s="25"/>
      <c r="G74" s="25"/>
      <c r="H74" s="58">
        <v>0</v>
      </c>
      <c r="I74" s="1" t="str">
        <f t="shared" ref="I74:I103" si="8">IF(SUM(H74)&gt;0.49,"*","")</f>
        <v/>
      </c>
      <c r="M74" s="88">
        <f t="shared" si="2"/>
        <v>0</v>
      </c>
      <c r="N74" s="88">
        <f t="shared" si="2"/>
        <v>0</v>
      </c>
    </row>
    <row r="75" spans="1:17" x14ac:dyDescent="0.25">
      <c r="A75" s="19">
        <v>1</v>
      </c>
      <c r="B75" s="25">
        <v>100</v>
      </c>
      <c r="C75" s="25">
        <v>4000</v>
      </c>
      <c r="D75" s="25">
        <v>5200</v>
      </c>
      <c r="E75" s="25">
        <v>151</v>
      </c>
      <c r="F75" s="25"/>
      <c r="G75" s="25" t="s">
        <v>178</v>
      </c>
      <c r="H75" s="58">
        <f>+Payroll!E57</f>
        <v>169074.22080000001</v>
      </c>
      <c r="I75" s="1" t="str">
        <f t="shared" ref="I75" si="9">IF(SUM(H75)&gt;0.49,"*","")</f>
        <v>*</v>
      </c>
      <c r="M75" s="88">
        <f t="shared" si="2"/>
        <v>169074.22080000001</v>
      </c>
      <c r="N75" s="88">
        <f t="shared" si="2"/>
        <v>0</v>
      </c>
    </row>
    <row r="76" spans="1:17" x14ac:dyDescent="0.25">
      <c r="A76" s="19">
        <v>1</v>
      </c>
      <c r="B76" s="25">
        <v>100</v>
      </c>
      <c r="C76" s="25">
        <v>4000</v>
      </c>
      <c r="D76" s="25">
        <v>5200</v>
      </c>
      <c r="E76" s="25">
        <v>210</v>
      </c>
      <c r="F76" s="25"/>
      <c r="G76" s="25" t="s">
        <v>49</v>
      </c>
      <c r="H76" s="58">
        <f>+Payroll!F34+Payroll!F57+Payroll!F20</f>
        <v>26289.529008960002</v>
      </c>
      <c r="I76" s="1" t="str">
        <f t="shared" si="8"/>
        <v>*</v>
      </c>
      <c r="M76" s="88">
        <f t="shared" si="2"/>
        <v>26289.529008960002</v>
      </c>
      <c r="N76" s="88">
        <f t="shared" si="2"/>
        <v>0</v>
      </c>
    </row>
    <row r="77" spans="1:17" x14ac:dyDescent="0.25">
      <c r="A77" s="19">
        <v>1</v>
      </c>
      <c r="B77" s="25">
        <v>100</v>
      </c>
      <c r="C77" s="25">
        <v>4000</v>
      </c>
      <c r="D77" s="25">
        <v>5200</v>
      </c>
      <c r="E77" s="25">
        <v>220</v>
      </c>
      <c r="F77" s="25"/>
      <c r="G77" s="25" t="s">
        <v>50</v>
      </c>
      <c r="H77" s="58">
        <f>+Payroll!H34+Payroll!H57+Payroll!H20</f>
        <v>24348.050474400003</v>
      </c>
      <c r="I77" s="1" t="str">
        <f t="shared" si="8"/>
        <v>*</v>
      </c>
      <c r="M77" s="88">
        <f t="shared" si="2"/>
        <v>24348.050474400003</v>
      </c>
      <c r="N77" s="88">
        <f t="shared" si="2"/>
        <v>0</v>
      </c>
    </row>
    <row r="78" spans="1:17" x14ac:dyDescent="0.25">
      <c r="A78" s="19">
        <v>1</v>
      </c>
      <c r="B78" s="25">
        <v>100</v>
      </c>
      <c r="C78" s="25">
        <v>4000</v>
      </c>
      <c r="D78" s="25">
        <v>5200</v>
      </c>
      <c r="E78" s="25">
        <v>230</v>
      </c>
      <c r="F78" s="25"/>
      <c r="G78" s="25" t="s">
        <v>51</v>
      </c>
      <c r="H78" s="58">
        <f>+Payroll!I34+Payroll!I57+Payroll!I20</f>
        <v>42067.065600000002</v>
      </c>
      <c r="I78" s="1" t="str">
        <f t="shared" si="8"/>
        <v>*</v>
      </c>
      <c r="M78" s="88">
        <f t="shared" si="2"/>
        <v>42067.065600000002</v>
      </c>
      <c r="N78" s="88">
        <f t="shared" si="2"/>
        <v>0</v>
      </c>
    </row>
    <row r="79" spans="1:17" x14ac:dyDescent="0.25">
      <c r="A79" s="19">
        <v>1</v>
      </c>
      <c r="B79" s="25">
        <v>100</v>
      </c>
      <c r="C79" s="25">
        <v>4000</v>
      </c>
      <c r="D79" s="25">
        <v>5200</v>
      </c>
      <c r="E79" s="25">
        <v>240</v>
      </c>
      <c r="F79" s="25"/>
      <c r="G79" s="25" t="s">
        <v>52</v>
      </c>
      <c r="H79" s="58">
        <f>+Payroll!K34+Payroll!K57+Payroll!K20</f>
        <v>3182.7516960000003</v>
      </c>
      <c r="I79" s="1" t="str">
        <f t="shared" si="8"/>
        <v>*</v>
      </c>
      <c r="M79" s="88">
        <f t="shared" si="2"/>
        <v>3182.7516960000003</v>
      </c>
      <c r="N79" s="88">
        <f t="shared" si="2"/>
        <v>0</v>
      </c>
    </row>
    <row r="80" spans="1:17" x14ac:dyDescent="0.25">
      <c r="A80" s="19">
        <v>1</v>
      </c>
      <c r="B80" s="25">
        <v>100</v>
      </c>
      <c r="C80" s="25">
        <v>4000</v>
      </c>
      <c r="D80" s="25">
        <v>5200</v>
      </c>
      <c r="E80" s="25">
        <v>250</v>
      </c>
      <c r="F80" s="25"/>
      <c r="G80" s="25" t="s">
        <v>53</v>
      </c>
      <c r="H80" s="58">
        <f>+Payroll!L34+Payroll!L57+Payroll!L20</f>
        <v>805.68016</v>
      </c>
      <c r="I80" s="1" t="str">
        <f t="shared" si="8"/>
        <v>*</v>
      </c>
      <c r="M80" s="88">
        <f t="shared" si="2"/>
        <v>805.68016</v>
      </c>
      <c r="N80" s="88">
        <f t="shared" si="2"/>
        <v>0</v>
      </c>
      <c r="Q80" s="8"/>
    </row>
    <row r="81" spans="1:14" hidden="1" x14ac:dyDescent="0.25">
      <c r="A81" s="19"/>
      <c r="B81" s="25"/>
      <c r="C81" s="25"/>
      <c r="D81" s="25"/>
      <c r="E81" s="25"/>
      <c r="F81" s="25"/>
      <c r="G81" s="25"/>
      <c r="H81" s="58"/>
      <c r="I81" s="1" t="str">
        <f t="shared" si="8"/>
        <v/>
      </c>
      <c r="M81" s="88">
        <f t="shared" ref="M81:N144" si="10">IF($B81=M$14,$H81,0)</f>
        <v>0</v>
      </c>
      <c r="N81" s="88">
        <f t="shared" si="10"/>
        <v>0</v>
      </c>
    </row>
    <row r="82" spans="1:14" x14ac:dyDescent="0.25">
      <c r="A82" s="19"/>
      <c r="B82" s="25">
        <f>+'Expense Input'!B9</f>
        <v>100</v>
      </c>
      <c r="C82" s="25">
        <f>+'Expense Input'!C9</f>
        <v>4000</v>
      </c>
      <c r="D82" s="25">
        <f>+'Expense Input'!D9</f>
        <v>5200</v>
      </c>
      <c r="E82" s="25">
        <f>+'Expense Input'!E9</f>
        <v>310</v>
      </c>
      <c r="F82" s="25"/>
      <c r="G82" s="25" t="str">
        <f>+'Expense Input'!F9</f>
        <v>Contracted Services</v>
      </c>
      <c r="H82" s="58">
        <f>+'Expense Input'!M9</f>
        <v>38319.187900000004</v>
      </c>
      <c r="I82" s="1" t="str">
        <f t="shared" ref="I82" si="11">IF(SUM(H82)&gt;0.49,"*","")</f>
        <v>*</v>
      </c>
      <c r="K82" s="8">
        <f>SUM(H82:H88)</f>
        <v>275072.09609999997</v>
      </c>
      <c r="M82" s="88">
        <f t="shared" si="10"/>
        <v>38319.187900000004</v>
      </c>
      <c r="N82" s="88">
        <f t="shared" si="10"/>
        <v>0</v>
      </c>
    </row>
    <row r="83" spans="1:14" x14ac:dyDescent="0.25">
      <c r="A83" s="19"/>
      <c r="B83" s="25">
        <f>+'Expense Input'!B10</f>
        <v>100</v>
      </c>
      <c r="C83" s="25">
        <f>+'Expense Input'!C10</f>
        <v>4000</v>
      </c>
      <c r="D83" s="25">
        <f>+'Expense Input'!D10</f>
        <v>5200</v>
      </c>
      <c r="E83" s="25">
        <f>+'Expense Input'!E10</f>
        <v>315</v>
      </c>
      <c r="F83" s="25"/>
      <c r="G83" s="25" t="str">
        <f>+'Expense Input'!F10</f>
        <v>Field Trips</v>
      </c>
      <c r="H83" s="58">
        <f>+'Expense Input'!M10</f>
        <v>13320.506200000002</v>
      </c>
      <c r="I83" s="1" t="str">
        <f t="shared" si="8"/>
        <v>*</v>
      </c>
      <c r="K83" s="8">
        <f>SUM('Expense Input'!M9:M15)</f>
        <v>275072.09609999997</v>
      </c>
      <c r="M83" s="88">
        <f t="shared" si="10"/>
        <v>13320.506200000002</v>
      </c>
      <c r="N83" s="88">
        <f t="shared" si="10"/>
        <v>0</v>
      </c>
    </row>
    <row r="84" spans="1:14" x14ac:dyDescent="0.25">
      <c r="A84" s="19"/>
      <c r="B84" s="25">
        <f>+'Expense Input'!B11</f>
        <v>100</v>
      </c>
      <c r="C84" s="25">
        <f>+'Expense Input'!C11</f>
        <v>4000</v>
      </c>
      <c r="D84" s="25">
        <f>+'Expense Input'!D11</f>
        <v>5200</v>
      </c>
      <c r="E84" s="25">
        <f>+'Expense Input'!E11</f>
        <v>330</v>
      </c>
      <c r="F84" s="25"/>
      <c r="G84" s="25" t="str">
        <f>+'Expense Input'!F11</f>
        <v>Travel/Conference/Workshops</v>
      </c>
      <c r="H84" s="58">
        <f>+'Expense Input'!M11</f>
        <v>164111.57709999997</v>
      </c>
      <c r="I84" s="1" t="str">
        <f t="shared" ref="I84" si="12">IF(SUM(H84)&gt;0.49,"*","")</f>
        <v>*</v>
      </c>
      <c r="M84" s="88">
        <f t="shared" si="10"/>
        <v>164111.57709999997</v>
      </c>
      <c r="N84" s="88">
        <f t="shared" si="10"/>
        <v>0</v>
      </c>
    </row>
    <row r="85" spans="1:14" x14ac:dyDescent="0.25">
      <c r="A85" s="19"/>
      <c r="B85" s="25">
        <f>+'Expense Input'!B12</f>
        <v>100</v>
      </c>
      <c r="C85" s="25">
        <f>+'Expense Input'!C12</f>
        <v>4000</v>
      </c>
      <c r="D85" s="25">
        <f>+'Expense Input'!D12</f>
        <v>5200</v>
      </c>
      <c r="E85" s="25">
        <f>+'Expense Input'!E12</f>
        <v>390</v>
      </c>
      <c r="F85" s="25"/>
      <c r="G85" s="25" t="str">
        <f>+'Expense Input'!F12</f>
        <v>Copy and Printing</v>
      </c>
      <c r="H85" s="58">
        <f>+'Expense Input'!M12</f>
        <v>3468.6632000000004</v>
      </c>
      <c r="I85" s="1" t="str">
        <f t="shared" ref="I85" si="13">IF(SUM(H85)&gt;0.49,"*","")</f>
        <v>*</v>
      </c>
      <c r="M85" s="88">
        <f t="shared" si="10"/>
        <v>3468.6632000000004</v>
      </c>
      <c r="N85" s="88">
        <f t="shared" si="10"/>
        <v>0</v>
      </c>
    </row>
    <row r="86" spans="1:14" x14ac:dyDescent="0.25">
      <c r="A86" s="19"/>
      <c r="B86" s="25">
        <f>+'Expense Input'!B13</f>
        <v>100</v>
      </c>
      <c r="C86" s="25">
        <f>+'Expense Input'!C13</f>
        <v>4000</v>
      </c>
      <c r="D86" s="25">
        <f>+'Expense Input'!D13</f>
        <v>5200</v>
      </c>
      <c r="E86" s="25">
        <f>+'Expense Input'!E13</f>
        <v>510</v>
      </c>
      <c r="F86" s="25"/>
      <c r="G86" s="25" t="str">
        <f>+'Expense Input'!F13</f>
        <v>Instructional Materials</v>
      </c>
      <c r="H86" s="58">
        <f>+'Expense Input'!M13</f>
        <v>54256.452600000004</v>
      </c>
      <c r="I86" s="1" t="str">
        <f t="shared" ref="I86" si="14">IF(SUM(H86)&gt;0.49,"*","")</f>
        <v>*</v>
      </c>
      <c r="K86" s="8">
        <f>K72+K82</f>
        <v>690040.34263935999</v>
      </c>
      <c r="M86" s="88">
        <f t="shared" si="10"/>
        <v>54256.452600000004</v>
      </c>
      <c r="N86" s="88">
        <f t="shared" si="10"/>
        <v>0</v>
      </c>
    </row>
    <row r="87" spans="1:14" hidden="1" x14ac:dyDescent="0.25">
      <c r="A87" s="19"/>
      <c r="B87" s="25">
        <f>+'Expense Input'!B14</f>
        <v>100</v>
      </c>
      <c r="C87" s="25">
        <f>+'Expense Input'!C14</f>
        <v>4000</v>
      </c>
      <c r="D87" s="25">
        <f>+'Expense Input'!D14</f>
        <v>5200</v>
      </c>
      <c r="E87" s="25">
        <f>+'Expense Input'!E14</f>
        <v>640</v>
      </c>
      <c r="F87" s="25"/>
      <c r="G87" s="25" t="str">
        <f>+'Expense Input'!F14</f>
        <v>Capital Furniture &amp; Equipment</v>
      </c>
      <c r="H87" s="58">
        <f>+'Expense Input'!M14</f>
        <v>0</v>
      </c>
      <c r="I87" s="1" t="str">
        <f t="shared" ref="I87:I88" si="15">IF(SUM(H87)&gt;0.49,"*","")</f>
        <v/>
      </c>
      <c r="M87" s="88">
        <f t="shared" si="10"/>
        <v>0</v>
      </c>
      <c r="N87" s="88">
        <f t="shared" si="10"/>
        <v>0</v>
      </c>
    </row>
    <row r="88" spans="1:14" x14ac:dyDescent="0.25">
      <c r="A88" s="19"/>
      <c r="B88" s="25">
        <f>+'Expense Input'!B15</f>
        <v>100</v>
      </c>
      <c r="C88" s="25">
        <f>+'Expense Input'!C15</f>
        <v>4000</v>
      </c>
      <c r="D88" s="25">
        <f>+'Expense Input'!D15</f>
        <v>5200</v>
      </c>
      <c r="E88" s="25">
        <f>+'Expense Input'!E15</f>
        <v>642</v>
      </c>
      <c r="F88" s="25"/>
      <c r="G88" s="25" t="str">
        <f>+'Expense Input'!F15</f>
        <v>Non Capital Furniture &amp; Equipment</v>
      </c>
      <c r="H88" s="58">
        <f>+'Expense Input'!M15</f>
        <v>1595.7091000000003</v>
      </c>
      <c r="I88" s="1" t="str">
        <f t="shared" si="15"/>
        <v>*</v>
      </c>
      <c r="M88" s="88">
        <f t="shared" si="10"/>
        <v>1595.7091000000003</v>
      </c>
      <c r="N88" s="88">
        <f t="shared" si="10"/>
        <v>0</v>
      </c>
    </row>
    <row r="89" spans="1:14" hidden="1" x14ac:dyDescent="0.25">
      <c r="A89" s="19"/>
      <c r="B89" s="25"/>
      <c r="C89" s="25"/>
      <c r="D89" s="25"/>
      <c r="E89" s="25"/>
      <c r="F89" s="25"/>
      <c r="G89" s="25"/>
      <c r="H89" s="58"/>
      <c r="I89" s="1" t="str">
        <f t="shared" ref="I89" si="16">IF(SUM(H89)&gt;0.49,"*","")</f>
        <v/>
      </c>
      <c r="M89" s="88">
        <f t="shared" si="10"/>
        <v>0</v>
      </c>
      <c r="N89" s="88">
        <f t="shared" si="10"/>
        <v>0</v>
      </c>
    </row>
    <row r="90" spans="1:14" hidden="1" x14ac:dyDescent="0.25">
      <c r="A90" s="19"/>
      <c r="B90" s="25"/>
      <c r="C90" s="25"/>
      <c r="D90" s="25"/>
      <c r="E90" s="25"/>
      <c r="F90" s="25"/>
      <c r="G90" s="25"/>
      <c r="H90" s="58"/>
      <c r="I90" s="1" t="str">
        <f t="shared" si="8"/>
        <v/>
      </c>
      <c r="M90" s="88">
        <f t="shared" si="10"/>
        <v>0</v>
      </c>
      <c r="N90" s="88">
        <f t="shared" si="10"/>
        <v>0</v>
      </c>
    </row>
    <row r="91" spans="1:14" hidden="1" x14ac:dyDescent="0.25">
      <c r="A91" s="19"/>
      <c r="B91" s="25"/>
      <c r="C91" s="25"/>
      <c r="D91" s="25"/>
      <c r="E91" s="25"/>
      <c r="F91" s="25"/>
      <c r="G91" s="25"/>
      <c r="H91" s="58"/>
      <c r="I91" s="1" t="str">
        <f t="shared" ref="I91" si="17">IF(SUM(H91)&gt;0.49,"*","")</f>
        <v/>
      </c>
      <c r="M91" s="88">
        <f t="shared" si="10"/>
        <v>0</v>
      </c>
      <c r="N91" s="88">
        <f t="shared" si="10"/>
        <v>0</v>
      </c>
    </row>
    <row r="92" spans="1:14" hidden="1" x14ac:dyDescent="0.25">
      <c r="A92" s="19"/>
      <c r="B92" s="25"/>
      <c r="C92" s="25"/>
      <c r="D92" s="25"/>
      <c r="E92" s="25"/>
      <c r="F92" s="25"/>
      <c r="G92" s="25"/>
      <c r="H92" s="58"/>
      <c r="I92" s="1" t="str">
        <f t="shared" si="8"/>
        <v/>
      </c>
      <c r="M92" s="88">
        <f t="shared" si="10"/>
        <v>0</v>
      </c>
      <c r="N92" s="88">
        <f t="shared" si="10"/>
        <v>0</v>
      </c>
    </row>
    <row r="93" spans="1:14" hidden="1" x14ac:dyDescent="0.25">
      <c r="A93" s="19"/>
      <c r="B93" s="25"/>
      <c r="C93" s="25"/>
      <c r="D93" s="25"/>
      <c r="E93" s="25"/>
      <c r="F93" s="25"/>
      <c r="G93" s="25"/>
      <c r="H93" s="58"/>
      <c r="I93" s="1" t="str">
        <f t="shared" ref="I93" si="18">IF(SUM(H93)&gt;0.49,"*","")</f>
        <v/>
      </c>
      <c r="M93" s="88">
        <f t="shared" si="10"/>
        <v>0</v>
      </c>
      <c r="N93" s="88">
        <f t="shared" si="10"/>
        <v>0</v>
      </c>
    </row>
    <row r="94" spans="1:14" hidden="1" x14ac:dyDescent="0.25">
      <c r="A94" s="19"/>
      <c r="B94" s="25"/>
      <c r="C94" s="25"/>
      <c r="D94" s="25"/>
      <c r="E94" s="25"/>
      <c r="F94" s="25"/>
      <c r="G94" s="25"/>
      <c r="H94" s="58"/>
      <c r="I94" s="1" t="str">
        <f t="shared" ref="I94" si="19">IF(SUM(H94)&gt;0.49,"*","")</f>
        <v/>
      </c>
      <c r="M94" s="88">
        <f t="shared" si="10"/>
        <v>0</v>
      </c>
      <c r="N94" s="88">
        <f t="shared" si="10"/>
        <v>0</v>
      </c>
    </row>
    <row r="95" spans="1:14" hidden="1" x14ac:dyDescent="0.25">
      <c r="A95" s="19"/>
      <c r="B95" s="25"/>
      <c r="C95" s="25"/>
      <c r="D95" s="25"/>
      <c r="E95" s="25"/>
      <c r="F95" s="25"/>
      <c r="G95" s="25"/>
      <c r="H95" s="58"/>
      <c r="I95" s="1" t="str">
        <f t="shared" ref="I95" si="20">IF(SUM(H95)&gt;0.49,"*","")</f>
        <v/>
      </c>
      <c r="M95" s="88">
        <f t="shared" si="10"/>
        <v>0</v>
      </c>
      <c r="N95" s="88">
        <f t="shared" si="10"/>
        <v>0</v>
      </c>
    </row>
    <row r="96" spans="1:14" hidden="1" x14ac:dyDescent="0.25">
      <c r="A96" s="19"/>
      <c r="B96" s="25"/>
      <c r="C96" s="25"/>
      <c r="D96" s="25"/>
      <c r="E96" s="25"/>
      <c r="F96" s="25"/>
      <c r="G96" s="25"/>
      <c r="H96" s="58"/>
      <c r="I96" s="1" t="str">
        <f t="shared" ref="I96:I97" si="21">IF(SUM(H96)&gt;0.49,"*","")</f>
        <v/>
      </c>
      <c r="M96" s="88">
        <f t="shared" si="10"/>
        <v>0</v>
      </c>
      <c r="N96" s="88">
        <f t="shared" si="10"/>
        <v>0</v>
      </c>
    </row>
    <row r="97" spans="1:14" hidden="1" x14ac:dyDescent="0.25">
      <c r="A97" s="19"/>
      <c r="B97" s="25"/>
      <c r="C97" s="25"/>
      <c r="D97" s="25"/>
      <c r="E97" s="25"/>
      <c r="F97" s="25"/>
      <c r="G97" s="25"/>
      <c r="H97" s="58"/>
      <c r="I97" s="1" t="str">
        <f t="shared" si="21"/>
        <v/>
      </c>
      <c r="M97" s="88">
        <f t="shared" si="10"/>
        <v>0</v>
      </c>
      <c r="N97" s="88">
        <f t="shared" si="10"/>
        <v>0</v>
      </c>
    </row>
    <row r="98" spans="1:14" hidden="1" x14ac:dyDescent="0.25">
      <c r="A98" s="19"/>
      <c r="B98" s="25"/>
      <c r="C98" s="25"/>
      <c r="D98" s="25"/>
      <c r="E98" s="25"/>
      <c r="F98" s="25"/>
      <c r="G98" s="25"/>
      <c r="H98" s="58"/>
      <c r="I98" s="1" t="str">
        <f t="shared" ref="I98" si="22">IF(SUM(H98)&gt;0.49,"*","")</f>
        <v/>
      </c>
      <c r="M98" s="88">
        <f t="shared" si="10"/>
        <v>0</v>
      </c>
      <c r="N98" s="88">
        <f t="shared" si="10"/>
        <v>0</v>
      </c>
    </row>
    <row r="99" spans="1:14" hidden="1" x14ac:dyDescent="0.25">
      <c r="A99" s="19"/>
      <c r="B99" s="25"/>
      <c r="C99" s="25"/>
      <c r="D99" s="25"/>
      <c r="E99" s="25"/>
      <c r="F99" s="25"/>
      <c r="G99" s="25"/>
      <c r="H99" s="58"/>
      <c r="I99" s="1" t="str">
        <f t="shared" ref="I99" si="23">IF(SUM(H99)&gt;0.49,"*","")</f>
        <v/>
      </c>
      <c r="M99" s="88">
        <f t="shared" si="10"/>
        <v>0</v>
      </c>
      <c r="N99" s="88">
        <f t="shared" si="10"/>
        <v>0</v>
      </c>
    </row>
    <row r="100" spans="1:14" hidden="1" x14ac:dyDescent="0.25">
      <c r="A100" s="19"/>
      <c r="B100" s="25"/>
      <c r="C100" s="25"/>
      <c r="D100" s="25"/>
      <c r="E100" s="25"/>
      <c r="F100" s="25"/>
      <c r="G100" s="25"/>
      <c r="H100" s="58"/>
      <c r="I100" s="1" t="str">
        <f t="shared" ref="I100" si="24">IF(SUM(H100)&gt;0.49,"*","")</f>
        <v/>
      </c>
      <c r="M100" s="88">
        <f t="shared" si="10"/>
        <v>0</v>
      </c>
      <c r="N100" s="88">
        <f t="shared" si="10"/>
        <v>0</v>
      </c>
    </row>
    <row r="101" spans="1:14" hidden="1" x14ac:dyDescent="0.25">
      <c r="A101" s="19"/>
      <c r="B101" s="25"/>
      <c r="C101" s="25"/>
      <c r="D101" s="25"/>
      <c r="E101" s="25"/>
      <c r="F101" s="25"/>
      <c r="G101" s="25"/>
      <c r="H101" s="58"/>
      <c r="I101" s="1" t="str">
        <f t="shared" ref="I101" si="25">IF(SUM(H101)&gt;0.49,"*","")</f>
        <v/>
      </c>
      <c r="M101" s="88">
        <f t="shared" si="10"/>
        <v>0</v>
      </c>
      <c r="N101" s="88">
        <f t="shared" si="10"/>
        <v>0</v>
      </c>
    </row>
    <row r="102" spans="1:14" hidden="1" x14ac:dyDescent="0.25">
      <c r="A102" s="19"/>
      <c r="B102" s="25"/>
      <c r="C102" s="25"/>
      <c r="D102" s="25"/>
      <c r="E102" s="25"/>
      <c r="F102" s="25"/>
      <c r="G102" s="25"/>
      <c r="H102" s="58"/>
      <c r="I102" s="1" t="str">
        <f t="shared" si="8"/>
        <v/>
      </c>
      <c r="M102" s="88">
        <f t="shared" si="10"/>
        <v>0</v>
      </c>
      <c r="N102" s="88">
        <f t="shared" si="10"/>
        <v>0</v>
      </c>
    </row>
    <row r="103" spans="1:14" hidden="1" x14ac:dyDescent="0.25">
      <c r="A103" s="19"/>
      <c r="B103" s="25"/>
      <c r="C103" s="25"/>
      <c r="D103" s="25"/>
      <c r="E103" s="25"/>
      <c r="F103" s="25"/>
      <c r="G103" s="25"/>
      <c r="H103" s="42"/>
      <c r="I103" s="1" t="str">
        <f t="shared" si="8"/>
        <v/>
      </c>
      <c r="M103" s="88">
        <f t="shared" si="10"/>
        <v>0</v>
      </c>
      <c r="N103" s="88">
        <f t="shared" si="10"/>
        <v>0</v>
      </c>
    </row>
    <row r="104" spans="1:14" x14ac:dyDescent="0.25">
      <c r="A104" s="19"/>
      <c r="B104" s="25"/>
      <c r="C104" s="25"/>
      <c r="D104" s="25"/>
      <c r="E104" s="25"/>
      <c r="F104" s="25"/>
      <c r="G104" s="25"/>
      <c r="H104" s="26"/>
      <c r="I104" s="1" t="str">
        <f>IF(I105="*","*","")</f>
        <v>*</v>
      </c>
      <c r="M104" s="88">
        <f t="shared" si="10"/>
        <v>0</v>
      </c>
      <c r="N104" s="88">
        <f t="shared" si="10"/>
        <v>0</v>
      </c>
    </row>
    <row r="105" spans="1:14" x14ac:dyDescent="0.25">
      <c r="A105" s="19"/>
      <c r="B105" s="25"/>
      <c r="C105" s="25"/>
      <c r="D105" s="25"/>
      <c r="E105" s="25"/>
      <c r="G105" s="16" t="s">
        <v>34</v>
      </c>
      <c r="H105" s="23">
        <f>SUM(H72:H104)</f>
        <v>690040.34263935988</v>
      </c>
      <c r="I105" s="1" t="str">
        <f>IF(SUM(H105)&gt;0.49,"*","")</f>
        <v>*</v>
      </c>
      <c r="M105" s="88">
        <f t="shared" si="10"/>
        <v>0</v>
      </c>
      <c r="N105" s="88">
        <f t="shared" si="10"/>
        <v>0</v>
      </c>
    </row>
    <row r="106" spans="1:14" x14ac:dyDescent="0.25">
      <c r="A106" s="19"/>
      <c r="B106" s="25"/>
      <c r="C106" s="25"/>
      <c r="D106" s="25"/>
      <c r="E106" s="25"/>
      <c r="F106" s="1"/>
      <c r="G106" s="11"/>
      <c r="I106" s="1" t="str">
        <f>IF(I105="*","*","")</f>
        <v>*</v>
      </c>
      <c r="M106" s="88">
        <f t="shared" si="10"/>
        <v>0</v>
      </c>
      <c r="N106" s="88">
        <f t="shared" si="10"/>
        <v>0</v>
      </c>
    </row>
    <row r="107" spans="1:14" x14ac:dyDescent="0.25">
      <c r="A107" s="19">
        <v>1</v>
      </c>
      <c r="B107" s="25">
        <v>100</v>
      </c>
      <c r="C107" s="25">
        <v>4000</v>
      </c>
      <c r="D107" s="25">
        <v>6100</v>
      </c>
      <c r="E107" s="25">
        <v>130</v>
      </c>
      <c r="F107" s="25"/>
      <c r="G107" s="25" t="s">
        <v>4</v>
      </c>
      <c r="H107" s="58">
        <f>Payroll!E65</f>
        <v>46821.345600000001</v>
      </c>
      <c r="I107" s="1" t="str">
        <f t="shared" ref="I107:I114" si="26">IF(SUM(H107)&gt;0.49,"*","")</f>
        <v>*</v>
      </c>
      <c r="K107" s="8">
        <f>SUM(H107:H112)</f>
        <v>72944.297540960004</v>
      </c>
      <c r="M107" s="88">
        <f t="shared" si="10"/>
        <v>46821.345600000001</v>
      </c>
      <c r="N107" s="88">
        <f t="shared" si="10"/>
        <v>0</v>
      </c>
    </row>
    <row r="108" spans="1:14" x14ac:dyDescent="0.25">
      <c r="A108" s="19">
        <v>1</v>
      </c>
      <c r="B108" s="25">
        <v>100</v>
      </c>
      <c r="C108" s="25">
        <v>4000</v>
      </c>
      <c r="D108" s="25">
        <v>6100</v>
      </c>
      <c r="E108" s="25">
        <v>210</v>
      </c>
      <c r="F108" s="25"/>
      <c r="G108" s="25" t="s">
        <v>49</v>
      </c>
      <c r="H108" s="58">
        <f>+Payroll!F65</f>
        <v>3867.4431465600005</v>
      </c>
      <c r="I108" s="1" t="str">
        <f t="shared" si="26"/>
        <v>*</v>
      </c>
      <c r="K108" s="89">
        <f>Payroll!M65</f>
        <v>72944.297540960004</v>
      </c>
      <c r="M108" s="88">
        <f t="shared" si="10"/>
        <v>3867.4431465600005</v>
      </c>
      <c r="N108" s="88">
        <f t="shared" si="10"/>
        <v>0</v>
      </c>
    </row>
    <row r="109" spans="1:14" x14ac:dyDescent="0.25">
      <c r="A109" s="19">
        <v>1</v>
      </c>
      <c r="B109" s="25">
        <v>100</v>
      </c>
      <c r="C109" s="25">
        <v>4000</v>
      </c>
      <c r="D109" s="25">
        <v>6100</v>
      </c>
      <c r="E109" s="25">
        <v>220</v>
      </c>
      <c r="F109" s="25"/>
      <c r="G109" s="25" t="s">
        <v>50</v>
      </c>
      <c r="H109" s="58">
        <f>+Payroll!H65</f>
        <v>3581.8329383999999</v>
      </c>
      <c r="I109" s="1" t="str">
        <f t="shared" si="26"/>
        <v>*</v>
      </c>
      <c r="M109" s="88">
        <f t="shared" si="10"/>
        <v>3581.8329383999999</v>
      </c>
      <c r="N109" s="88">
        <f t="shared" si="10"/>
        <v>0</v>
      </c>
    </row>
    <row r="110" spans="1:14" x14ac:dyDescent="0.25">
      <c r="A110" s="19">
        <v>1</v>
      </c>
      <c r="B110" s="25">
        <v>100</v>
      </c>
      <c r="C110" s="25">
        <v>4000</v>
      </c>
      <c r="D110" s="25">
        <v>6100</v>
      </c>
      <c r="E110" s="25">
        <v>230</v>
      </c>
      <c r="F110" s="25"/>
      <c r="G110" s="25" t="s">
        <v>51</v>
      </c>
      <c r="H110" s="58">
        <f>+Payroll!I65</f>
        <v>18028.742399999999</v>
      </c>
      <c r="I110" s="1" t="str">
        <f>IF(SUM(H107)&gt;0.49,"*","")</f>
        <v>*</v>
      </c>
      <c r="M110" s="88">
        <f t="shared" si="10"/>
        <v>18028.742399999999</v>
      </c>
      <c r="N110" s="88">
        <f t="shared" si="10"/>
        <v>0</v>
      </c>
    </row>
    <row r="111" spans="1:14" x14ac:dyDescent="0.25">
      <c r="A111" s="19">
        <v>1</v>
      </c>
      <c r="B111" s="25">
        <v>100</v>
      </c>
      <c r="C111" s="25">
        <v>4000</v>
      </c>
      <c r="D111" s="25">
        <v>6100</v>
      </c>
      <c r="E111" s="25">
        <v>240</v>
      </c>
      <c r="F111" s="25"/>
      <c r="G111" s="25" t="s">
        <v>52</v>
      </c>
      <c r="H111" s="58">
        <f>+Payroll!K65</f>
        <v>468.21345600000001</v>
      </c>
      <c r="I111" s="1" t="str">
        <f t="shared" si="26"/>
        <v>*</v>
      </c>
      <c r="M111" s="88">
        <f t="shared" si="10"/>
        <v>468.21345600000001</v>
      </c>
      <c r="N111" s="88">
        <f t="shared" si="10"/>
        <v>0</v>
      </c>
    </row>
    <row r="112" spans="1:14" x14ac:dyDescent="0.25">
      <c r="A112" s="19">
        <v>1</v>
      </c>
      <c r="B112" s="25">
        <v>100</v>
      </c>
      <c r="C112" s="25">
        <v>4000</v>
      </c>
      <c r="D112" s="25">
        <v>6100</v>
      </c>
      <c r="E112" s="25">
        <v>250</v>
      </c>
      <c r="F112" s="25"/>
      <c r="G112" s="25" t="s">
        <v>53</v>
      </c>
      <c r="H112" s="58">
        <f>+Payroll!L65</f>
        <v>176.72</v>
      </c>
      <c r="I112" s="1" t="str">
        <f t="shared" si="26"/>
        <v>*</v>
      </c>
      <c r="M112" s="88">
        <f t="shared" si="10"/>
        <v>176.72</v>
      </c>
      <c r="N112" s="88">
        <f t="shared" si="10"/>
        <v>0</v>
      </c>
    </row>
    <row r="113" spans="1:14" hidden="1" x14ac:dyDescent="0.25">
      <c r="A113" s="19"/>
      <c r="B113" s="25"/>
      <c r="C113" s="25"/>
      <c r="D113" s="25"/>
      <c r="E113" s="25"/>
      <c r="F113" s="25"/>
      <c r="G113" s="25"/>
      <c r="H113" s="58"/>
      <c r="I113" s="1" t="str">
        <f t="shared" si="26"/>
        <v/>
      </c>
      <c r="M113" s="88">
        <f t="shared" si="10"/>
        <v>0</v>
      </c>
      <c r="N113" s="88">
        <f t="shared" si="10"/>
        <v>0</v>
      </c>
    </row>
    <row r="114" spans="1:14" x14ac:dyDescent="0.25">
      <c r="A114" s="19"/>
      <c r="B114" s="139">
        <f>+'Expense Input'!B16</f>
        <v>100</v>
      </c>
      <c r="C114" s="139">
        <f>+'Expense Input'!C16</f>
        <v>4000</v>
      </c>
      <c r="D114" s="139">
        <f>+'Expense Input'!D16</f>
        <v>6130</v>
      </c>
      <c r="E114" s="139">
        <f>+'Expense Input'!E16</f>
        <v>310</v>
      </c>
      <c r="F114" s="25"/>
      <c r="G114" s="25" t="str">
        <f>+'Expense Input'!F16</f>
        <v>Contracted Services</v>
      </c>
      <c r="H114" s="42">
        <f>+'Expense Input'!M16</f>
        <v>404</v>
      </c>
      <c r="I114" s="1" t="str">
        <f t="shared" si="26"/>
        <v>*</v>
      </c>
      <c r="K114" s="8">
        <f>SUM(H114)</f>
        <v>404</v>
      </c>
      <c r="M114" s="88">
        <f t="shared" si="10"/>
        <v>404</v>
      </c>
      <c r="N114" s="88">
        <f t="shared" si="10"/>
        <v>0</v>
      </c>
    </row>
    <row r="115" spans="1:14" x14ac:dyDescent="0.25">
      <c r="A115" s="19"/>
      <c r="B115" s="25"/>
      <c r="C115" s="25"/>
      <c r="D115" s="25"/>
      <c r="E115" s="25"/>
      <c r="F115" s="25"/>
      <c r="G115" s="25"/>
      <c r="H115" s="58"/>
      <c r="I115" s="1" t="str">
        <f>IF(I116="*","*","")</f>
        <v>*</v>
      </c>
      <c r="K115" s="8">
        <f>'Expense Input'!M16</f>
        <v>404</v>
      </c>
      <c r="M115" s="88">
        <f t="shared" si="10"/>
        <v>0</v>
      </c>
      <c r="N115" s="88">
        <f t="shared" si="10"/>
        <v>0</v>
      </c>
    </row>
    <row r="116" spans="1:14" x14ac:dyDescent="0.25">
      <c r="A116" s="19"/>
      <c r="B116" s="25"/>
      <c r="C116" s="25"/>
      <c r="D116" s="25"/>
      <c r="E116" s="25"/>
      <c r="G116" s="16" t="s">
        <v>35</v>
      </c>
      <c r="H116" s="23">
        <f>SUM(H107:H115)</f>
        <v>73348.297540960004</v>
      </c>
      <c r="I116" s="1" t="str">
        <f>IF(SUM(H116)&gt;0.49,"*","")</f>
        <v>*</v>
      </c>
      <c r="M116" s="88">
        <f t="shared" si="10"/>
        <v>0</v>
      </c>
      <c r="N116" s="88">
        <f t="shared" si="10"/>
        <v>0</v>
      </c>
    </row>
    <row r="117" spans="1:14" x14ac:dyDescent="0.25">
      <c r="A117" s="19"/>
      <c r="B117" s="25"/>
      <c r="C117" s="25"/>
      <c r="D117" s="25"/>
      <c r="E117" s="25"/>
      <c r="F117" s="1"/>
      <c r="G117" s="12"/>
      <c r="H117" s="24"/>
      <c r="I117" s="1" t="str">
        <f>IF(I116="*","*","")</f>
        <v>*</v>
      </c>
      <c r="K117" s="8">
        <f>K107+K114</f>
        <v>73348.297540960004</v>
      </c>
      <c r="M117" s="88">
        <f t="shared" si="10"/>
        <v>0</v>
      </c>
      <c r="N117" s="88">
        <f t="shared" si="10"/>
        <v>0</v>
      </c>
    </row>
    <row r="118" spans="1:14" hidden="1" x14ac:dyDescent="0.25">
      <c r="A118" s="19">
        <v>1</v>
      </c>
      <c r="B118" s="25">
        <v>100</v>
      </c>
      <c r="C118" s="25">
        <v>4000</v>
      </c>
      <c r="D118" s="25">
        <v>6200</v>
      </c>
      <c r="E118" s="25">
        <v>130</v>
      </c>
      <c r="F118" s="25"/>
      <c r="G118" s="25" t="s">
        <v>54</v>
      </c>
      <c r="H118" s="58">
        <f>Payroll!E69</f>
        <v>0</v>
      </c>
      <c r="I118" s="1" t="str">
        <f t="shared" ref="I118:I123" si="27">IF(SUM(H118)&gt;0.49,"*","")</f>
        <v/>
      </c>
      <c r="K118" s="8">
        <f>SUM(H118:H123)</f>
        <v>0</v>
      </c>
      <c r="M118" s="88">
        <f t="shared" si="10"/>
        <v>0</v>
      </c>
      <c r="N118" s="88">
        <f t="shared" si="10"/>
        <v>0</v>
      </c>
    </row>
    <row r="119" spans="1:14" hidden="1" x14ac:dyDescent="0.25">
      <c r="A119" s="19">
        <v>1</v>
      </c>
      <c r="B119" s="25">
        <v>100</v>
      </c>
      <c r="C119" s="25">
        <v>4000</v>
      </c>
      <c r="D119" s="25">
        <v>6200</v>
      </c>
      <c r="E119" s="25">
        <v>210</v>
      </c>
      <c r="F119" s="25"/>
      <c r="G119" s="25" t="s">
        <v>49</v>
      </c>
      <c r="H119" s="58">
        <f>+Payroll!F69</f>
        <v>0</v>
      </c>
      <c r="I119" s="1" t="str">
        <f t="shared" si="27"/>
        <v/>
      </c>
      <c r="K119" s="89">
        <f>Payroll!M69</f>
        <v>0</v>
      </c>
      <c r="M119" s="88">
        <f t="shared" si="10"/>
        <v>0</v>
      </c>
      <c r="N119" s="88">
        <f t="shared" si="10"/>
        <v>0</v>
      </c>
    </row>
    <row r="120" spans="1:14" hidden="1" x14ac:dyDescent="0.25">
      <c r="A120" s="19">
        <v>1</v>
      </c>
      <c r="B120" s="25">
        <v>100</v>
      </c>
      <c r="C120" s="25">
        <v>4000</v>
      </c>
      <c r="D120" s="25">
        <v>6200</v>
      </c>
      <c r="E120" s="25">
        <v>220</v>
      </c>
      <c r="F120" s="25"/>
      <c r="G120" s="25" t="s">
        <v>50</v>
      </c>
      <c r="H120" s="58">
        <f>+Payroll!H69</f>
        <v>0</v>
      </c>
      <c r="I120" s="1" t="str">
        <f t="shared" si="27"/>
        <v/>
      </c>
      <c r="M120" s="88">
        <f t="shared" si="10"/>
        <v>0</v>
      </c>
      <c r="N120" s="88">
        <f t="shared" si="10"/>
        <v>0</v>
      </c>
    </row>
    <row r="121" spans="1:14" hidden="1" x14ac:dyDescent="0.25">
      <c r="A121" s="19">
        <v>1</v>
      </c>
      <c r="B121" s="25">
        <v>100</v>
      </c>
      <c r="C121" s="25">
        <v>4000</v>
      </c>
      <c r="D121" s="25">
        <v>6200</v>
      </c>
      <c r="E121" s="25">
        <v>230</v>
      </c>
      <c r="F121" s="25"/>
      <c r="G121" s="25" t="s">
        <v>51</v>
      </c>
      <c r="H121" s="58">
        <f>+Payroll!I69</f>
        <v>0</v>
      </c>
      <c r="I121" s="1" t="str">
        <f t="shared" si="27"/>
        <v/>
      </c>
      <c r="M121" s="88">
        <f t="shared" si="10"/>
        <v>0</v>
      </c>
      <c r="N121" s="88">
        <f t="shared" si="10"/>
        <v>0</v>
      </c>
    </row>
    <row r="122" spans="1:14" ht="12" hidden="1" customHeight="1" x14ac:dyDescent="0.25">
      <c r="A122" s="19">
        <v>1</v>
      </c>
      <c r="B122" s="25">
        <v>100</v>
      </c>
      <c r="C122" s="25">
        <v>4000</v>
      </c>
      <c r="D122" s="25">
        <v>6200</v>
      </c>
      <c r="E122" s="25">
        <v>240</v>
      </c>
      <c r="F122" s="25"/>
      <c r="G122" s="25" t="s">
        <v>52</v>
      </c>
      <c r="H122" s="58">
        <f>+Payroll!K69</f>
        <v>0</v>
      </c>
      <c r="I122" s="1" t="str">
        <f t="shared" si="27"/>
        <v/>
      </c>
      <c r="M122" s="88">
        <f t="shared" si="10"/>
        <v>0</v>
      </c>
      <c r="N122" s="88">
        <f t="shared" si="10"/>
        <v>0</v>
      </c>
    </row>
    <row r="123" spans="1:14" hidden="1" x14ac:dyDescent="0.25">
      <c r="A123" s="19">
        <v>1</v>
      </c>
      <c r="B123" s="25">
        <v>100</v>
      </c>
      <c r="C123" s="25">
        <v>4000</v>
      </c>
      <c r="D123" s="25">
        <v>6200</v>
      </c>
      <c r="E123" s="25">
        <v>250</v>
      </c>
      <c r="F123" s="25"/>
      <c r="G123" s="25" t="s">
        <v>53</v>
      </c>
      <c r="H123" s="58">
        <f>+Payroll!L69</f>
        <v>0</v>
      </c>
      <c r="I123" s="1" t="str">
        <f t="shared" si="27"/>
        <v/>
      </c>
      <c r="M123" s="88">
        <f t="shared" si="10"/>
        <v>0</v>
      </c>
      <c r="N123" s="88">
        <f t="shared" si="10"/>
        <v>0</v>
      </c>
    </row>
    <row r="124" spans="1:14" hidden="1" x14ac:dyDescent="0.25">
      <c r="A124" s="19"/>
      <c r="B124" s="25"/>
      <c r="C124" s="25"/>
      <c r="D124" s="25"/>
      <c r="E124" s="25"/>
      <c r="F124" s="25"/>
      <c r="G124" s="25"/>
      <c r="H124" s="24"/>
      <c r="I124" s="1" t="str">
        <f>IF(I125="*","*","")</f>
        <v/>
      </c>
      <c r="M124" s="88">
        <f t="shared" si="10"/>
        <v>0</v>
      </c>
      <c r="N124" s="88">
        <f t="shared" si="10"/>
        <v>0</v>
      </c>
    </row>
    <row r="125" spans="1:14" hidden="1" x14ac:dyDescent="0.25">
      <c r="A125" s="19"/>
      <c r="B125" s="25"/>
      <c r="C125" s="25"/>
      <c r="D125" s="25"/>
      <c r="E125" s="25"/>
      <c r="G125" s="16" t="s">
        <v>36</v>
      </c>
      <c r="H125" s="23">
        <f t="shared" ref="H125" si="28">SUM(H118:H124)</f>
        <v>0</v>
      </c>
      <c r="I125" s="1" t="str">
        <f>IF(SUM(H125)&gt;0.49,"*","")</f>
        <v/>
      </c>
      <c r="M125" s="88">
        <f t="shared" si="10"/>
        <v>0</v>
      </c>
      <c r="N125" s="88">
        <f t="shared" si="10"/>
        <v>0</v>
      </c>
    </row>
    <row r="126" spans="1:14" hidden="1" x14ac:dyDescent="0.25">
      <c r="A126" s="19"/>
      <c r="B126" s="25"/>
      <c r="C126" s="25"/>
      <c r="D126" s="25"/>
      <c r="E126" s="25"/>
      <c r="F126" s="1"/>
      <c r="G126" s="12"/>
      <c r="I126" s="1" t="str">
        <f>IF(I125="*","*","")</f>
        <v/>
      </c>
      <c r="M126" s="88">
        <f t="shared" si="10"/>
        <v>0</v>
      </c>
      <c r="N126" s="88">
        <f t="shared" si="10"/>
        <v>0</v>
      </c>
    </row>
    <row r="127" spans="1:14" hidden="1" x14ac:dyDescent="0.25">
      <c r="A127" s="19"/>
      <c r="B127" s="25"/>
      <c r="C127" s="25"/>
      <c r="D127" s="25"/>
      <c r="E127" s="25"/>
      <c r="F127" s="27"/>
      <c r="G127" s="27"/>
      <c r="H127" s="88"/>
      <c r="I127" s="1" t="str">
        <f>IF(SUM(H127)&gt;0.49,"*","")</f>
        <v/>
      </c>
      <c r="M127" s="88">
        <f t="shared" si="10"/>
        <v>0</v>
      </c>
      <c r="N127" s="88">
        <f t="shared" si="10"/>
        <v>0</v>
      </c>
    </row>
    <row r="128" spans="1:14" hidden="1" x14ac:dyDescent="0.25">
      <c r="A128" s="19"/>
      <c r="B128" s="25"/>
      <c r="C128" s="25"/>
      <c r="D128" s="25"/>
      <c r="E128" s="25"/>
      <c r="F128" s="1"/>
      <c r="G128" s="37"/>
      <c r="H128" s="26"/>
      <c r="I128" s="1" t="str">
        <f>IF(I129="*","*","")</f>
        <v/>
      </c>
      <c r="M128" s="88">
        <f t="shared" si="10"/>
        <v>0</v>
      </c>
      <c r="N128" s="88">
        <f t="shared" si="10"/>
        <v>0</v>
      </c>
    </row>
    <row r="129" spans="1:14" hidden="1" x14ac:dyDescent="0.25">
      <c r="A129" s="19"/>
      <c r="B129" s="25"/>
      <c r="C129" s="25"/>
      <c r="D129" s="25"/>
      <c r="E129" s="25"/>
      <c r="G129" s="16" t="s">
        <v>37</v>
      </c>
      <c r="H129" s="23">
        <f t="shared" ref="H129" si="29">SUM(H127:H128)</f>
        <v>0</v>
      </c>
      <c r="I129" s="1" t="str">
        <f>IF(SUM(H129)&gt;0.49,"*","")</f>
        <v/>
      </c>
      <c r="M129" s="88">
        <f t="shared" si="10"/>
        <v>0</v>
      </c>
      <c r="N129" s="88">
        <f t="shared" si="10"/>
        <v>0</v>
      </c>
    </row>
    <row r="130" spans="1:14" hidden="1" x14ac:dyDescent="0.25">
      <c r="A130" s="19"/>
      <c r="B130" s="25"/>
      <c r="C130" s="25"/>
      <c r="D130" s="25"/>
      <c r="E130" s="25"/>
      <c r="G130" s="16"/>
      <c r="H130" s="24"/>
      <c r="I130" s="1" t="str">
        <f>IF(I129="*","*","")</f>
        <v/>
      </c>
      <c r="M130" s="88">
        <f t="shared" si="10"/>
        <v>0</v>
      </c>
      <c r="N130" s="88">
        <f t="shared" si="10"/>
        <v>0</v>
      </c>
    </row>
    <row r="131" spans="1:14" ht="12" hidden="1" customHeight="1" x14ac:dyDescent="0.25">
      <c r="A131" s="19"/>
      <c r="B131" s="25"/>
      <c r="C131" s="25"/>
      <c r="D131" s="25"/>
      <c r="E131" s="25"/>
      <c r="F131" s="25"/>
      <c r="G131" s="25"/>
      <c r="H131" s="24"/>
      <c r="I131" s="1" t="str">
        <f>IF(SUM(H131)&gt;0.49,"*","")</f>
        <v/>
      </c>
      <c r="M131" s="88">
        <f t="shared" si="10"/>
        <v>0</v>
      </c>
      <c r="N131" s="88">
        <f t="shared" si="10"/>
        <v>0</v>
      </c>
    </row>
    <row r="132" spans="1:14" ht="12" hidden="1" customHeight="1" x14ac:dyDescent="0.25">
      <c r="A132" s="19"/>
      <c r="B132" s="139">
        <f>+'Expense Input'!B17</f>
        <v>100</v>
      </c>
      <c r="C132" s="139">
        <f>+'Expense Input'!C17</f>
        <v>4000</v>
      </c>
      <c r="D132" s="139">
        <f>+'Expense Input'!D17</f>
        <v>6400</v>
      </c>
      <c r="E132" s="139">
        <f>+'Expense Input'!E17</f>
        <v>310</v>
      </c>
      <c r="F132" s="25"/>
      <c r="G132" s="25" t="str">
        <f>+'Expense Input'!F17</f>
        <v>Staff Development</v>
      </c>
      <c r="H132" s="24">
        <f>+'Expense Input'!M17</f>
        <v>0</v>
      </c>
      <c r="I132" s="1" t="str">
        <f>IF(SUM(H132)&gt;0.49,"*","")</f>
        <v/>
      </c>
      <c r="K132" s="8">
        <f>SUM(H132)</f>
        <v>0</v>
      </c>
      <c r="M132" s="88">
        <f t="shared" si="10"/>
        <v>0</v>
      </c>
      <c r="N132" s="88">
        <f t="shared" si="10"/>
        <v>0</v>
      </c>
    </row>
    <row r="133" spans="1:14" ht="12" hidden="1" customHeight="1" x14ac:dyDescent="0.25">
      <c r="A133" s="19"/>
      <c r="B133" s="25"/>
      <c r="C133" s="25"/>
      <c r="D133" s="25"/>
      <c r="E133" s="25"/>
      <c r="F133" s="25"/>
      <c r="G133" s="25"/>
      <c r="H133" s="26"/>
      <c r="I133" s="1" t="str">
        <f>IF(I134="*","*","")</f>
        <v/>
      </c>
      <c r="K133" s="8">
        <f>SUM('Expense Input'!M17)</f>
        <v>0</v>
      </c>
      <c r="M133" s="88">
        <f t="shared" si="10"/>
        <v>0</v>
      </c>
      <c r="N133" s="88">
        <f t="shared" si="10"/>
        <v>0</v>
      </c>
    </row>
    <row r="134" spans="1:14" hidden="1" x14ac:dyDescent="0.25">
      <c r="A134" s="19"/>
      <c r="B134" s="25"/>
      <c r="C134" s="25"/>
      <c r="D134" s="25"/>
      <c r="E134" s="25"/>
      <c r="G134" s="16" t="s">
        <v>38</v>
      </c>
      <c r="H134" s="23">
        <f t="shared" ref="H134" si="30">SUM(H131:H133)</f>
        <v>0</v>
      </c>
      <c r="I134" s="1" t="str">
        <f>IF(SUM(H134)&gt;0.49,"*","")</f>
        <v/>
      </c>
      <c r="M134" s="88">
        <f t="shared" si="10"/>
        <v>0</v>
      </c>
      <c r="N134" s="88">
        <f t="shared" si="10"/>
        <v>0</v>
      </c>
    </row>
    <row r="135" spans="1:14" hidden="1" x14ac:dyDescent="0.25">
      <c r="A135" s="19"/>
      <c r="B135" s="25"/>
      <c r="C135" s="25"/>
      <c r="D135" s="25"/>
      <c r="E135" s="25"/>
      <c r="G135" s="3"/>
      <c r="I135" s="1" t="str">
        <f>IF(I134="*","*","")</f>
        <v/>
      </c>
      <c r="M135" s="88">
        <f t="shared" si="10"/>
        <v>0</v>
      </c>
      <c r="N135" s="88">
        <f t="shared" si="10"/>
        <v>0</v>
      </c>
    </row>
    <row r="136" spans="1:14" s="64" customFormat="1" x14ac:dyDescent="0.25">
      <c r="A136" s="63"/>
      <c r="B136" s="139">
        <f>'Expense Input'!B18</f>
        <v>100</v>
      </c>
      <c r="C136" s="139">
        <f>'Expense Input'!C18</f>
        <v>4000</v>
      </c>
      <c r="D136" s="139">
        <f>'Expense Input'!D18</f>
        <v>6500</v>
      </c>
      <c r="E136" s="139">
        <f>'Expense Input'!E18</f>
        <v>310</v>
      </c>
      <c r="F136" s="32"/>
      <c r="G136" s="32" t="str">
        <f>'Expense Input'!F18</f>
        <v>Technology Support &amp; Service</v>
      </c>
      <c r="H136" s="58">
        <f>+'Expense Input'!M18</f>
        <v>150.49</v>
      </c>
      <c r="I136" s="1" t="str">
        <f t="shared" ref="I136" si="31">IF(SUM(H136)&gt;0.49,"*","")</f>
        <v>*</v>
      </c>
      <c r="J136" s="1"/>
      <c r="K136" s="8">
        <f>SUM(H136:J136)</f>
        <v>150.49</v>
      </c>
      <c r="L136" s="1"/>
      <c r="M136" s="88">
        <f t="shared" si="10"/>
        <v>150.49</v>
      </c>
      <c r="N136" s="88">
        <f t="shared" si="10"/>
        <v>0</v>
      </c>
    </row>
    <row r="137" spans="1:14" hidden="1" x14ac:dyDescent="0.25">
      <c r="A137" s="19"/>
      <c r="B137" s="25"/>
      <c r="C137" s="25"/>
      <c r="D137" s="25"/>
      <c r="E137" s="25"/>
      <c r="F137" s="25"/>
      <c r="G137" s="25"/>
      <c r="H137" s="24"/>
      <c r="I137" s="1" t="str">
        <f t="shared" ref="I137:I145" si="32">IF(SUM(H137)&gt;0.49,"*","")</f>
        <v/>
      </c>
      <c r="K137" s="8">
        <f>SUM('Expense Input'!M18)</f>
        <v>150.49</v>
      </c>
      <c r="M137" s="88">
        <f t="shared" si="10"/>
        <v>0</v>
      </c>
      <c r="N137" s="88">
        <f t="shared" si="10"/>
        <v>0</v>
      </c>
    </row>
    <row r="138" spans="1:14" hidden="1" x14ac:dyDescent="0.25">
      <c r="A138" s="19"/>
      <c r="B138" s="25"/>
      <c r="C138" s="25"/>
      <c r="D138" s="25"/>
      <c r="E138" s="25"/>
      <c r="F138" s="25"/>
      <c r="G138" s="25"/>
      <c r="H138" s="24"/>
      <c r="I138" s="1" t="str">
        <f t="shared" si="32"/>
        <v/>
      </c>
      <c r="M138" s="88">
        <f t="shared" si="10"/>
        <v>0</v>
      </c>
      <c r="N138" s="88">
        <f t="shared" si="10"/>
        <v>0</v>
      </c>
    </row>
    <row r="139" spans="1:14" hidden="1" x14ac:dyDescent="0.25">
      <c r="A139" s="19"/>
      <c r="B139" s="25"/>
      <c r="C139" s="25"/>
      <c r="D139" s="25"/>
      <c r="E139" s="25"/>
      <c r="F139" s="25"/>
      <c r="G139" s="25"/>
      <c r="H139" s="24"/>
      <c r="I139" s="1" t="str">
        <f t="shared" si="32"/>
        <v/>
      </c>
      <c r="M139" s="88">
        <f t="shared" si="10"/>
        <v>0</v>
      </c>
      <c r="N139" s="88">
        <f t="shared" si="10"/>
        <v>0</v>
      </c>
    </row>
    <row r="140" spans="1:14" hidden="1" x14ac:dyDescent="0.25">
      <c r="A140" s="19"/>
      <c r="B140" s="25"/>
      <c r="C140" s="25"/>
      <c r="D140" s="25"/>
      <c r="E140" s="25"/>
      <c r="F140" s="25"/>
      <c r="G140" s="25"/>
      <c r="H140" s="24"/>
      <c r="I140" s="1" t="str">
        <f t="shared" si="32"/>
        <v/>
      </c>
      <c r="M140" s="88">
        <f t="shared" si="10"/>
        <v>0</v>
      </c>
      <c r="N140" s="88">
        <f t="shared" si="10"/>
        <v>0</v>
      </c>
    </row>
    <row r="141" spans="1:14" hidden="1" x14ac:dyDescent="0.25">
      <c r="A141" s="19"/>
      <c r="B141" s="25"/>
      <c r="C141" s="25"/>
      <c r="D141" s="25"/>
      <c r="E141" s="25"/>
      <c r="F141" s="25"/>
      <c r="G141" s="25"/>
      <c r="H141" s="24"/>
      <c r="I141" s="1" t="str">
        <f t="shared" si="32"/>
        <v/>
      </c>
      <c r="M141" s="88">
        <f t="shared" si="10"/>
        <v>0</v>
      </c>
      <c r="N141" s="88">
        <f t="shared" si="10"/>
        <v>0</v>
      </c>
    </row>
    <row r="142" spans="1:14" hidden="1" x14ac:dyDescent="0.25">
      <c r="A142" s="19"/>
      <c r="B142" s="25"/>
      <c r="C142" s="25"/>
      <c r="D142" s="25"/>
      <c r="E142" s="25"/>
      <c r="F142" s="25"/>
      <c r="G142" s="25"/>
      <c r="H142" s="24"/>
      <c r="I142" s="1" t="str">
        <f t="shared" si="32"/>
        <v/>
      </c>
      <c r="M142" s="88">
        <f t="shared" si="10"/>
        <v>0</v>
      </c>
      <c r="N142" s="88">
        <f t="shared" si="10"/>
        <v>0</v>
      </c>
    </row>
    <row r="143" spans="1:14" hidden="1" x14ac:dyDescent="0.25">
      <c r="A143" s="19"/>
      <c r="B143" s="25"/>
      <c r="C143" s="25"/>
      <c r="D143" s="25"/>
      <c r="E143" s="25"/>
      <c r="F143" s="25"/>
      <c r="G143" s="25"/>
      <c r="H143" s="24"/>
      <c r="I143" s="1" t="str">
        <f t="shared" si="32"/>
        <v/>
      </c>
      <c r="M143" s="88">
        <f t="shared" si="10"/>
        <v>0</v>
      </c>
      <c r="N143" s="88">
        <f t="shared" si="10"/>
        <v>0</v>
      </c>
    </row>
    <row r="144" spans="1:14" hidden="1" x14ac:dyDescent="0.25">
      <c r="A144" s="19"/>
      <c r="B144" s="25"/>
      <c r="C144" s="25"/>
      <c r="D144" s="25"/>
      <c r="E144" s="25"/>
      <c r="F144" s="25"/>
      <c r="G144" s="25"/>
      <c r="H144" s="24"/>
      <c r="I144" s="1" t="str">
        <f t="shared" si="32"/>
        <v/>
      </c>
      <c r="M144" s="88">
        <f t="shared" si="10"/>
        <v>0</v>
      </c>
      <c r="N144" s="88">
        <f t="shared" si="10"/>
        <v>0</v>
      </c>
    </row>
    <row r="145" spans="1:17" hidden="1" x14ac:dyDescent="0.25">
      <c r="A145" s="19"/>
      <c r="B145" s="25"/>
      <c r="C145" s="25"/>
      <c r="D145" s="25"/>
      <c r="E145" s="25"/>
      <c r="F145" s="25"/>
      <c r="G145" s="25"/>
      <c r="H145" s="24"/>
      <c r="I145" s="1" t="str">
        <f t="shared" si="32"/>
        <v/>
      </c>
      <c r="M145" s="88">
        <f t="shared" ref="M145:N176" si="33">IF($B145=M$14,$H145,0)</f>
        <v>0</v>
      </c>
      <c r="N145" s="88">
        <f t="shared" si="33"/>
        <v>0</v>
      </c>
    </row>
    <row r="146" spans="1:17" x14ac:dyDescent="0.25">
      <c r="A146" s="19"/>
      <c r="B146" s="25"/>
      <c r="C146" s="25"/>
      <c r="D146" s="25"/>
      <c r="E146" s="25"/>
      <c r="F146" s="25"/>
      <c r="G146" s="25"/>
      <c r="H146" s="26"/>
      <c r="I146" s="1" t="str">
        <f>IF(I147="*","*","")</f>
        <v>*</v>
      </c>
      <c r="M146" s="88">
        <f t="shared" si="33"/>
        <v>0</v>
      </c>
      <c r="N146" s="88">
        <f t="shared" si="33"/>
        <v>0</v>
      </c>
    </row>
    <row r="147" spans="1:17" x14ac:dyDescent="0.25">
      <c r="A147" s="19"/>
      <c r="B147" s="25"/>
      <c r="C147" s="25"/>
      <c r="D147" s="25"/>
      <c r="E147" s="25"/>
      <c r="G147" s="16" t="s">
        <v>90</v>
      </c>
      <c r="H147" s="23">
        <f t="shared" ref="H147" si="34">SUM(H136:H146)</f>
        <v>150.49</v>
      </c>
      <c r="I147" s="1" t="str">
        <f>IF(SUM(H147)&gt;0.49,"*","")</f>
        <v>*</v>
      </c>
      <c r="M147" s="88">
        <f t="shared" si="33"/>
        <v>0</v>
      </c>
      <c r="N147" s="88">
        <f t="shared" si="33"/>
        <v>0</v>
      </c>
    </row>
    <row r="148" spans="1:17" x14ac:dyDescent="0.25">
      <c r="A148" s="19"/>
      <c r="B148" s="25"/>
      <c r="C148" s="25"/>
      <c r="D148" s="25"/>
      <c r="E148" s="25"/>
      <c r="G148" s="3"/>
      <c r="I148" s="1" t="str">
        <f>I147</f>
        <v>*</v>
      </c>
      <c r="M148" s="88">
        <f t="shared" si="33"/>
        <v>0</v>
      </c>
      <c r="N148" s="88">
        <f t="shared" si="33"/>
        <v>0</v>
      </c>
    </row>
    <row r="149" spans="1:17" s="64" customFormat="1" hidden="1" x14ac:dyDescent="0.25">
      <c r="A149" s="63"/>
      <c r="B149" s="25"/>
      <c r="C149" s="25"/>
      <c r="D149" s="25"/>
      <c r="E149" s="25"/>
      <c r="F149" s="32"/>
      <c r="G149" s="32"/>
      <c r="H149" s="58"/>
      <c r="I149" s="1" t="str">
        <f t="shared" ref="I149:I156" si="35">IF(SUM(H149)&gt;0.49,"*","")</f>
        <v/>
      </c>
      <c r="J149" s="1"/>
      <c r="K149" s="1"/>
      <c r="L149" s="1"/>
      <c r="M149" s="88">
        <f t="shared" si="33"/>
        <v>0</v>
      </c>
      <c r="N149" s="88">
        <f t="shared" si="33"/>
        <v>0</v>
      </c>
    </row>
    <row r="150" spans="1:17" s="64" customFormat="1" hidden="1" x14ac:dyDescent="0.25">
      <c r="A150" s="63"/>
      <c r="B150" s="25"/>
      <c r="C150" s="25"/>
      <c r="D150" s="25"/>
      <c r="E150" s="25"/>
      <c r="F150" s="32"/>
      <c r="G150" s="32"/>
      <c r="H150" s="58"/>
      <c r="I150" s="1" t="str">
        <f t="shared" si="35"/>
        <v/>
      </c>
      <c r="J150" s="1"/>
      <c r="K150" s="1"/>
      <c r="L150" s="1"/>
      <c r="M150" s="88">
        <f t="shared" si="33"/>
        <v>0</v>
      </c>
      <c r="N150" s="88">
        <f t="shared" si="33"/>
        <v>0</v>
      </c>
    </row>
    <row r="151" spans="1:17" hidden="1" x14ac:dyDescent="0.25">
      <c r="A151" s="19"/>
      <c r="B151" s="25"/>
      <c r="C151" s="25"/>
      <c r="D151" s="25"/>
      <c r="E151" s="25"/>
      <c r="F151" s="32"/>
      <c r="G151" s="32"/>
      <c r="H151" s="58"/>
      <c r="I151" s="1" t="str">
        <f t="shared" si="35"/>
        <v/>
      </c>
      <c r="M151" s="88">
        <f t="shared" si="33"/>
        <v>0</v>
      </c>
      <c r="N151" s="88">
        <f t="shared" si="33"/>
        <v>0</v>
      </c>
    </row>
    <row r="152" spans="1:17" x14ac:dyDescent="0.25">
      <c r="A152" s="19"/>
      <c r="B152" s="25">
        <f>'Expense Input'!B19</f>
        <v>100</v>
      </c>
      <c r="C152" s="25">
        <f>'Expense Input'!C19</f>
        <v>4000</v>
      </c>
      <c r="D152" s="25">
        <f>'Expense Input'!D19</f>
        <v>7100</v>
      </c>
      <c r="E152" s="25">
        <f>'Expense Input'!E19</f>
        <v>310</v>
      </c>
      <c r="F152" s="32"/>
      <c r="G152" s="32" t="str">
        <f>'Expense Input'!F19</f>
        <v>Legal and Audit Expense</v>
      </c>
      <c r="H152" s="58">
        <f>+'Expense Input'!M19</f>
        <v>10476.225</v>
      </c>
      <c r="I152" s="1" t="str">
        <f t="shared" ref="I152" si="36">IF(SUM(H152)&gt;0.49,"*","")</f>
        <v>*</v>
      </c>
      <c r="K152" s="8">
        <f>SUM(H152:H156)</f>
        <v>61612.046399999999</v>
      </c>
      <c r="M152" s="88">
        <f t="shared" si="33"/>
        <v>10476.225</v>
      </c>
      <c r="N152" s="88">
        <f t="shared" si="33"/>
        <v>0</v>
      </c>
    </row>
    <row r="153" spans="1:17" x14ac:dyDescent="0.25">
      <c r="A153" s="19"/>
      <c r="B153" s="25">
        <f>'Expense Input'!B20</f>
        <v>100</v>
      </c>
      <c r="C153" s="25">
        <f>'Expense Input'!C20</f>
        <v>4000</v>
      </c>
      <c r="D153" s="25">
        <f>'Expense Input'!D20</f>
        <v>7100</v>
      </c>
      <c r="E153" s="25">
        <f>'Expense Input'!E20</f>
        <v>320</v>
      </c>
      <c r="F153" s="32"/>
      <c r="G153" s="32" t="str">
        <f>'Expense Input'!F20</f>
        <v>Insurance - General Liability</v>
      </c>
      <c r="H153" s="58">
        <f>+'Expense Input'!M20</f>
        <v>14991.258300000001</v>
      </c>
      <c r="I153" s="1" t="str">
        <f t="shared" si="35"/>
        <v>*</v>
      </c>
      <c r="K153" s="8">
        <f>SUM('Expense Input'!M19:M23)</f>
        <v>61612.046399999999</v>
      </c>
      <c r="M153" s="88">
        <f t="shared" si="33"/>
        <v>14991.258300000001</v>
      </c>
      <c r="N153" s="88">
        <f t="shared" si="33"/>
        <v>0</v>
      </c>
    </row>
    <row r="154" spans="1:17" x14ac:dyDescent="0.25">
      <c r="A154" s="19"/>
      <c r="B154" s="25">
        <f>'Expense Input'!B21</f>
        <v>100</v>
      </c>
      <c r="C154" s="25">
        <f>'Expense Input'!C21</f>
        <v>4000</v>
      </c>
      <c r="D154" s="25">
        <f>'Expense Input'!D21</f>
        <v>7100</v>
      </c>
      <c r="E154" s="25">
        <f>'Expense Input'!E21</f>
        <v>330</v>
      </c>
      <c r="F154" s="32"/>
      <c r="G154" s="32" t="str">
        <f>'Expense Input'!F21</f>
        <v>Travel / Conferences / Workshops</v>
      </c>
      <c r="H154" s="58">
        <f>+'Expense Input'!M21</f>
        <v>401.22250000000003</v>
      </c>
      <c r="I154" s="1" t="str">
        <f t="shared" ref="I154" si="37">IF(SUM(H154)&gt;0.49,"*","")</f>
        <v>*</v>
      </c>
      <c r="M154" s="88">
        <f t="shared" si="33"/>
        <v>401.22250000000003</v>
      </c>
      <c r="N154" s="88">
        <f t="shared" si="33"/>
        <v>0</v>
      </c>
    </row>
    <row r="155" spans="1:17" x14ac:dyDescent="0.25">
      <c r="A155" s="19"/>
      <c r="B155" s="25">
        <f>'Expense Input'!B22</f>
        <v>100</v>
      </c>
      <c r="C155" s="25">
        <f>'Expense Input'!C22</f>
        <v>4000</v>
      </c>
      <c r="D155" s="25">
        <f>'Expense Input'!D22</f>
        <v>7100</v>
      </c>
      <c r="E155" s="25">
        <f>'Expense Input'!E22</f>
        <v>730</v>
      </c>
      <c r="F155" s="32"/>
      <c r="G155" s="32" t="str">
        <f>'Expense Input'!F22</f>
        <v>Dues and Fees</v>
      </c>
      <c r="H155" s="58">
        <f>+'Expense Input'!M22</f>
        <v>14153.1906</v>
      </c>
      <c r="I155" s="1" t="str">
        <f t="shared" si="35"/>
        <v>*</v>
      </c>
      <c r="M155" s="88">
        <f t="shared" si="33"/>
        <v>14153.1906</v>
      </c>
      <c r="N155" s="88">
        <f t="shared" si="33"/>
        <v>0</v>
      </c>
    </row>
    <row r="156" spans="1:17" s="64" customFormat="1" x14ac:dyDescent="0.25">
      <c r="A156" s="63"/>
      <c r="B156" s="25">
        <f>'Expense Input'!B23</f>
        <v>100</v>
      </c>
      <c r="C156" s="25">
        <f>'Expense Input'!C23</f>
        <v>4000</v>
      </c>
      <c r="D156" s="25">
        <f>'Expense Input'!D23</f>
        <v>7100</v>
      </c>
      <c r="E156" s="25">
        <f>'Expense Input'!E23</f>
        <v>790</v>
      </c>
      <c r="F156" s="32"/>
      <c r="G156" s="32" t="str">
        <f>'Expense Input'!F23</f>
        <v>District Admin Fees</v>
      </c>
      <c r="H156" s="58">
        <f>+'Expense Input'!M23</f>
        <v>21590.15</v>
      </c>
      <c r="I156" s="1" t="str">
        <f t="shared" si="35"/>
        <v>*</v>
      </c>
      <c r="J156" s="1"/>
      <c r="K156" s="1"/>
      <c r="L156" s="1"/>
      <c r="M156" s="88">
        <f t="shared" si="33"/>
        <v>21590.15</v>
      </c>
      <c r="N156" s="88">
        <f t="shared" si="33"/>
        <v>0</v>
      </c>
      <c r="Q156" s="65"/>
    </row>
    <row r="157" spans="1:17" hidden="1" x14ac:dyDescent="0.25">
      <c r="A157" s="19"/>
      <c r="B157" s="25"/>
      <c r="C157" s="25"/>
      <c r="D157" s="25"/>
      <c r="E157" s="25"/>
      <c r="F157" s="32"/>
      <c r="G157" s="32"/>
      <c r="H157" s="58"/>
      <c r="I157" s="1" t="str">
        <f t="shared" ref="I157:I166" si="38">IF(SUM(H157)&gt;0.49,"*","")</f>
        <v/>
      </c>
      <c r="M157" s="88">
        <f t="shared" si="33"/>
        <v>0</v>
      </c>
      <c r="N157" s="88">
        <f t="shared" si="33"/>
        <v>0</v>
      </c>
    </row>
    <row r="158" spans="1:17" hidden="1" x14ac:dyDescent="0.25">
      <c r="A158" s="19"/>
      <c r="B158" s="25"/>
      <c r="C158" s="25"/>
      <c r="D158" s="25"/>
      <c r="E158" s="25"/>
      <c r="F158" s="32"/>
      <c r="G158" s="32"/>
      <c r="H158" s="58"/>
      <c r="I158" s="1" t="str">
        <f t="shared" si="38"/>
        <v/>
      </c>
      <c r="M158" s="88">
        <f t="shared" si="33"/>
        <v>0</v>
      </c>
      <c r="N158" s="88">
        <f t="shared" si="33"/>
        <v>0</v>
      </c>
    </row>
    <row r="159" spans="1:17" s="64" customFormat="1" hidden="1" x14ac:dyDescent="0.25">
      <c r="A159" s="63"/>
      <c r="B159" s="25"/>
      <c r="C159" s="25"/>
      <c r="D159" s="25"/>
      <c r="E159" s="25"/>
      <c r="F159" s="32"/>
      <c r="G159" s="32"/>
      <c r="H159" s="58"/>
      <c r="I159" s="1" t="str">
        <f t="shared" si="38"/>
        <v/>
      </c>
      <c r="J159" s="1"/>
      <c r="K159" s="1"/>
      <c r="L159" s="1"/>
      <c r="M159" s="88">
        <f t="shared" si="33"/>
        <v>0</v>
      </c>
      <c r="N159" s="88">
        <f t="shared" si="33"/>
        <v>0</v>
      </c>
      <c r="Q159" s="65"/>
    </row>
    <row r="160" spans="1:17" hidden="1" x14ac:dyDescent="0.25">
      <c r="A160" s="19"/>
      <c r="B160" s="25"/>
      <c r="C160" s="25"/>
      <c r="D160" s="25"/>
      <c r="E160" s="25"/>
      <c r="F160" s="32"/>
      <c r="G160" s="32"/>
      <c r="H160" s="58"/>
      <c r="I160" s="1" t="str">
        <f t="shared" si="38"/>
        <v/>
      </c>
      <c r="M160" s="88">
        <f t="shared" si="33"/>
        <v>0</v>
      </c>
      <c r="N160" s="88">
        <f t="shared" si="33"/>
        <v>0</v>
      </c>
    </row>
    <row r="161" spans="1:17" hidden="1" x14ac:dyDescent="0.25">
      <c r="A161" s="19"/>
      <c r="B161" s="25"/>
      <c r="C161" s="25"/>
      <c r="D161" s="25"/>
      <c r="E161" s="25"/>
      <c r="F161" s="32"/>
      <c r="G161" s="32"/>
      <c r="H161" s="58"/>
      <c r="I161" s="1" t="str">
        <f t="shared" si="38"/>
        <v/>
      </c>
      <c r="M161" s="88">
        <f t="shared" si="33"/>
        <v>0</v>
      </c>
      <c r="N161" s="88">
        <f t="shared" si="33"/>
        <v>0</v>
      </c>
    </row>
    <row r="162" spans="1:17" hidden="1" x14ac:dyDescent="0.25">
      <c r="A162" s="19"/>
      <c r="B162" s="25"/>
      <c r="C162" s="25"/>
      <c r="D162" s="25"/>
      <c r="E162" s="25"/>
      <c r="F162" s="25"/>
      <c r="G162" s="25"/>
      <c r="H162" s="24"/>
      <c r="I162" s="1" t="str">
        <f t="shared" si="38"/>
        <v/>
      </c>
      <c r="M162" s="88">
        <f t="shared" si="33"/>
        <v>0</v>
      </c>
      <c r="N162" s="88">
        <f t="shared" si="33"/>
        <v>0</v>
      </c>
    </row>
    <row r="163" spans="1:17" hidden="1" x14ac:dyDescent="0.25">
      <c r="A163" s="19"/>
      <c r="B163" s="25"/>
      <c r="C163" s="25"/>
      <c r="D163" s="25"/>
      <c r="E163" s="25"/>
      <c r="F163" s="25"/>
      <c r="G163" s="25"/>
      <c r="H163" s="24"/>
      <c r="I163" s="1" t="str">
        <f t="shared" si="38"/>
        <v/>
      </c>
      <c r="M163" s="88">
        <f t="shared" si="33"/>
        <v>0</v>
      </c>
      <c r="N163" s="88">
        <f t="shared" si="33"/>
        <v>0</v>
      </c>
    </row>
    <row r="164" spans="1:17" hidden="1" x14ac:dyDescent="0.25">
      <c r="A164" s="19"/>
      <c r="B164" s="25"/>
      <c r="C164" s="25"/>
      <c r="D164" s="25"/>
      <c r="E164" s="25"/>
      <c r="F164" s="25"/>
      <c r="G164" s="25"/>
      <c r="H164" s="24"/>
      <c r="I164" s="1" t="str">
        <f t="shared" si="38"/>
        <v/>
      </c>
      <c r="M164" s="88">
        <f t="shared" si="33"/>
        <v>0</v>
      </c>
      <c r="N164" s="88">
        <f t="shared" si="33"/>
        <v>0</v>
      </c>
    </row>
    <row r="165" spans="1:17" hidden="1" x14ac:dyDescent="0.25">
      <c r="A165" s="19"/>
      <c r="B165" s="25"/>
      <c r="C165" s="25"/>
      <c r="D165" s="25"/>
      <c r="E165" s="25"/>
      <c r="F165" s="25"/>
      <c r="G165" s="25"/>
      <c r="H165" s="24"/>
      <c r="I165" s="1" t="str">
        <f t="shared" si="38"/>
        <v/>
      </c>
      <c r="M165" s="88">
        <f t="shared" si="33"/>
        <v>0</v>
      </c>
      <c r="N165" s="88">
        <f t="shared" si="33"/>
        <v>0</v>
      </c>
    </row>
    <row r="166" spans="1:17" hidden="1" x14ac:dyDescent="0.25">
      <c r="A166" s="19"/>
      <c r="B166" s="25"/>
      <c r="C166" s="25"/>
      <c r="D166" s="25"/>
      <c r="E166" s="25"/>
      <c r="F166" s="25"/>
      <c r="G166" s="25"/>
      <c r="H166" s="24"/>
      <c r="I166" s="1" t="str">
        <f t="shared" si="38"/>
        <v/>
      </c>
      <c r="M166" s="88">
        <f t="shared" si="33"/>
        <v>0</v>
      </c>
      <c r="N166" s="88">
        <f t="shared" si="33"/>
        <v>0</v>
      </c>
    </row>
    <row r="167" spans="1:17" x14ac:dyDescent="0.25">
      <c r="A167" s="19"/>
      <c r="B167" s="25"/>
      <c r="C167" s="25"/>
      <c r="D167" s="25"/>
      <c r="E167" s="25"/>
      <c r="F167" s="25"/>
      <c r="G167" s="25"/>
      <c r="H167" s="26"/>
      <c r="I167" s="1" t="str">
        <f>IF(I168="*","*","")</f>
        <v>*</v>
      </c>
      <c r="M167" s="88">
        <f t="shared" si="33"/>
        <v>0</v>
      </c>
      <c r="N167" s="88">
        <f t="shared" si="33"/>
        <v>0</v>
      </c>
    </row>
    <row r="168" spans="1:17" x14ac:dyDescent="0.25">
      <c r="A168" s="19"/>
      <c r="B168" s="25"/>
      <c r="C168" s="25"/>
      <c r="D168" s="25"/>
      <c r="E168" s="25"/>
      <c r="G168" s="16" t="s">
        <v>91</v>
      </c>
      <c r="H168" s="23">
        <f>SUM(H150:H167)</f>
        <v>61612.046399999999</v>
      </c>
      <c r="I168" s="1" t="str">
        <f>IF(SUM(H168)&gt;0.49,"*","")</f>
        <v>*</v>
      </c>
      <c r="M168" s="88">
        <f t="shared" si="33"/>
        <v>0</v>
      </c>
      <c r="N168" s="88">
        <f t="shared" si="33"/>
        <v>0</v>
      </c>
    </row>
    <row r="169" spans="1:17" x14ac:dyDescent="0.25">
      <c r="A169" s="19"/>
      <c r="B169" s="25"/>
      <c r="C169" s="25"/>
      <c r="D169" s="25"/>
      <c r="E169" s="25"/>
      <c r="F169" s="13"/>
      <c r="G169" s="12"/>
      <c r="I169" s="1" t="str">
        <f>IF(I168="*","*","")</f>
        <v>*</v>
      </c>
      <c r="M169" s="88">
        <f t="shared" si="33"/>
        <v>0</v>
      </c>
      <c r="N169" s="88">
        <f t="shared" si="33"/>
        <v>0</v>
      </c>
    </row>
    <row r="170" spans="1:17" hidden="1" x14ac:dyDescent="0.25">
      <c r="A170" s="19">
        <v>1</v>
      </c>
      <c r="B170" s="25">
        <v>100</v>
      </c>
      <c r="C170" s="25">
        <v>4000</v>
      </c>
      <c r="D170" s="25">
        <v>7300</v>
      </c>
      <c r="E170" s="25">
        <v>110</v>
      </c>
      <c r="F170" s="25"/>
      <c r="G170" s="25" t="s">
        <v>124</v>
      </c>
      <c r="H170" s="58">
        <f>+Payroll!E74</f>
        <v>0</v>
      </c>
      <c r="I170" s="1" t="str">
        <f t="shared" ref="I170:I178" si="39">IF(SUM(H170)&gt;0.49,"*","")</f>
        <v/>
      </c>
      <c r="K170" s="8">
        <f>SUM(H170:H176)</f>
        <v>23016.77636752</v>
      </c>
      <c r="M170" s="88">
        <f t="shared" si="33"/>
        <v>0</v>
      </c>
      <c r="N170" s="88">
        <f t="shared" si="33"/>
        <v>0</v>
      </c>
    </row>
    <row r="171" spans="1:17" x14ac:dyDescent="0.25">
      <c r="A171" s="19">
        <v>1</v>
      </c>
      <c r="B171" s="25">
        <v>100</v>
      </c>
      <c r="C171" s="25">
        <v>4000</v>
      </c>
      <c r="D171" s="25">
        <v>7300</v>
      </c>
      <c r="E171" s="25">
        <v>160</v>
      </c>
      <c r="F171" s="25"/>
      <c r="G171" s="25" t="s">
        <v>8</v>
      </c>
      <c r="H171" s="58">
        <f>+Payroll!E81</f>
        <v>19536.427200000002</v>
      </c>
      <c r="I171" s="1" t="str">
        <f t="shared" si="39"/>
        <v>*</v>
      </c>
      <c r="K171" s="89">
        <f>Payroll!M74+Payroll!M81</f>
        <v>23016.776367520004</v>
      </c>
      <c r="M171" s="88">
        <f t="shared" si="33"/>
        <v>19536.427200000002</v>
      </c>
      <c r="N171" s="88">
        <f t="shared" si="33"/>
        <v>0</v>
      </c>
    </row>
    <row r="172" spans="1:17" x14ac:dyDescent="0.25">
      <c r="A172" s="19">
        <v>1</v>
      </c>
      <c r="B172" s="25">
        <v>100</v>
      </c>
      <c r="C172" s="25">
        <v>4000</v>
      </c>
      <c r="D172" s="25">
        <v>7300</v>
      </c>
      <c r="E172" s="25">
        <v>210</v>
      </c>
      <c r="F172" s="25"/>
      <c r="G172" s="25" t="s">
        <v>49</v>
      </c>
      <c r="H172" s="58">
        <f>+(Payroll!F74+Payroll!F81)</f>
        <v>1613.7088867200005</v>
      </c>
      <c r="I172" s="1" t="str">
        <f t="shared" si="39"/>
        <v>*</v>
      </c>
      <c r="M172" s="88">
        <f t="shared" si="33"/>
        <v>1613.7088867200005</v>
      </c>
      <c r="N172" s="88">
        <f t="shared" si="33"/>
        <v>0</v>
      </c>
    </row>
    <row r="173" spans="1:17" x14ac:dyDescent="0.25">
      <c r="A173" s="19">
        <v>1</v>
      </c>
      <c r="B173" s="25">
        <v>100</v>
      </c>
      <c r="C173" s="25">
        <v>4000</v>
      </c>
      <c r="D173" s="25">
        <v>7300</v>
      </c>
      <c r="E173" s="25">
        <v>220</v>
      </c>
      <c r="F173" s="25"/>
      <c r="G173" s="25" t="s">
        <v>50</v>
      </c>
      <c r="H173" s="58">
        <f>+Payroll!H74+Payroll!H81</f>
        <v>1494.5366808000001</v>
      </c>
      <c r="I173" s="1" t="str">
        <f t="shared" si="39"/>
        <v>*</v>
      </c>
      <c r="M173" s="88">
        <f t="shared" si="33"/>
        <v>1494.5366808000001</v>
      </c>
      <c r="N173" s="88">
        <f t="shared" si="33"/>
        <v>0</v>
      </c>
    </row>
    <row r="174" spans="1:17" hidden="1" x14ac:dyDescent="0.25">
      <c r="A174" s="19">
        <v>1</v>
      </c>
      <c r="B174" s="25">
        <v>100</v>
      </c>
      <c r="C174" s="25">
        <v>4000</v>
      </c>
      <c r="D174" s="25">
        <v>7300</v>
      </c>
      <c r="E174" s="25">
        <v>230</v>
      </c>
      <c r="F174" s="25"/>
      <c r="G174" s="25" t="s">
        <v>51</v>
      </c>
      <c r="H174" s="58">
        <f>+Payroll!I74+Payroll!I81</f>
        <v>0</v>
      </c>
      <c r="I174" s="1" t="str">
        <f t="shared" si="39"/>
        <v/>
      </c>
      <c r="M174" s="88">
        <f t="shared" si="33"/>
        <v>0</v>
      </c>
      <c r="N174" s="88">
        <f t="shared" si="33"/>
        <v>0</v>
      </c>
    </row>
    <row r="175" spans="1:17" x14ac:dyDescent="0.25">
      <c r="A175" s="19">
        <v>1</v>
      </c>
      <c r="B175" s="25">
        <v>100</v>
      </c>
      <c r="C175" s="25">
        <v>4000</v>
      </c>
      <c r="D175" s="25">
        <v>7300</v>
      </c>
      <c r="E175" s="25">
        <v>240</v>
      </c>
      <c r="F175" s="25"/>
      <c r="G175" s="25" t="s">
        <v>52</v>
      </c>
      <c r="H175" s="58">
        <f>+Payroll!K74+Payroll!K81</f>
        <v>195.36427200000003</v>
      </c>
      <c r="I175" s="1" t="str">
        <f t="shared" si="39"/>
        <v>*</v>
      </c>
      <c r="M175" s="88">
        <f t="shared" si="33"/>
        <v>195.36427200000003</v>
      </c>
      <c r="N175" s="88">
        <f t="shared" si="33"/>
        <v>0</v>
      </c>
      <c r="Q175" s="8"/>
    </row>
    <row r="176" spans="1:17" x14ac:dyDescent="0.25">
      <c r="A176" s="19">
        <v>1</v>
      </c>
      <c r="B176" s="25">
        <v>100</v>
      </c>
      <c r="C176" s="25">
        <v>4000</v>
      </c>
      <c r="D176" s="25">
        <v>7300</v>
      </c>
      <c r="E176" s="25">
        <v>250</v>
      </c>
      <c r="F176" s="25"/>
      <c r="G176" s="25" t="s">
        <v>53</v>
      </c>
      <c r="H176" s="58">
        <f>+Payroll!L74+Payroll!L81</f>
        <v>176.739328</v>
      </c>
      <c r="I176" s="1" t="str">
        <f t="shared" si="39"/>
        <v>*</v>
      </c>
      <c r="M176" s="88">
        <f t="shared" si="33"/>
        <v>176.739328</v>
      </c>
      <c r="N176" s="88">
        <f t="shared" si="33"/>
        <v>0</v>
      </c>
    </row>
    <row r="177" spans="1:14" hidden="1" x14ac:dyDescent="0.25">
      <c r="A177" s="19"/>
      <c r="B177" s="25"/>
      <c r="C177" s="25"/>
      <c r="D177" s="25"/>
      <c r="E177" s="25"/>
      <c r="F177" s="25"/>
      <c r="G177" s="25"/>
      <c r="H177" s="58"/>
      <c r="I177" s="1" t="str">
        <f t="shared" si="39"/>
        <v/>
      </c>
      <c r="M177" s="88">
        <f t="shared" ref="M177:N208" si="40">IF($B177=M$14,$H177,0)</f>
        <v>0</v>
      </c>
      <c r="N177" s="88">
        <f t="shared" si="40"/>
        <v>0</v>
      </c>
    </row>
    <row r="178" spans="1:14" hidden="1" x14ac:dyDescent="0.25">
      <c r="A178" s="19"/>
      <c r="B178" s="25"/>
      <c r="C178" s="25"/>
      <c r="D178" s="25"/>
      <c r="E178" s="25"/>
      <c r="F178" s="25"/>
      <c r="G178" s="25"/>
      <c r="H178" s="58"/>
      <c r="I178" s="1" t="str">
        <f t="shared" si="39"/>
        <v/>
      </c>
      <c r="M178" s="88">
        <f t="shared" si="40"/>
        <v>0</v>
      </c>
      <c r="N178" s="88">
        <f t="shared" si="40"/>
        <v>0</v>
      </c>
    </row>
    <row r="179" spans="1:14" x14ac:dyDescent="0.25">
      <c r="A179" s="19"/>
      <c r="B179" s="25">
        <f>'Expense Input'!B24</f>
        <v>100</v>
      </c>
      <c r="C179" s="25">
        <f>'Expense Input'!C24</f>
        <v>4000</v>
      </c>
      <c r="D179" s="25">
        <f>'Expense Input'!D24</f>
        <v>7300</v>
      </c>
      <c r="E179" s="25">
        <f>'Expense Input'!E24</f>
        <v>330</v>
      </c>
      <c r="F179" s="25"/>
      <c r="G179" s="25" t="str">
        <f>'Expense Input'!F24</f>
        <v>Travel / Conferences / Workshops</v>
      </c>
      <c r="H179" s="58">
        <f>+'Expense Input'!M24</f>
        <v>4884.3802000000005</v>
      </c>
      <c r="I179" s="1" t="str">
        <f>IF(SUM(H179)&gt;0.49,"*","")</f>
        <v>*</v>
      </c>
      <c r="K179" s="8">
        <f>SUM(H179:H184)</f>
        <v>25652.616299999998</v>
      </c>
      <c r="M179" s="88">
        <f t="shared" si="40"/>
        <v>4884.3802000000005</v>
      </c>
      <c r="N179" s="88">
        <f t="shared" si="40"/>
        <v>0</v>
      </c>
    </row>
    <row r="180" spans="1:14" x14ac:dyDescent="0.25">
      <c r="A180" s="19"/>
      <c r="B180" s="25">
        <f>'Expense Input'!B25</f>
        <v>100</v>
      </c>
      <c r="C180" s="25">
        <f>'Expense Input'!C25</f>
        <v>4000</v>
      </c>
      <c r="D180" s="25">
        <f>'Expense Input'!D25</f>
        <v>7300</v>
      </c>
      <c r="E180" s="25">
        <f>'Expense Input'!E25</f>
        <v>370</v>
      </c>
      <c r="F180" s="25"/>
      <c r="G180" s="25" t="str">
        <f>'Expense Input'!F25</f>
        <v>Postage</v>
      </c>
      <c r="H180" s="58">
        <f>+'Expense Input'!M25</f>
        <v>1119.4536999999998</v>
      </c>
      <c r="I180" s="1" t="str">
        <f t="shared" ref="I180:I191" si="41">IF(SUM(H180)&gt;0.49,"*","")</f>
        <v>*</v>
      </c>
      <c r="K180" s="8">
        <f>SUM('Expense Input'!M24:M29)</f>
        <v>25652.616299999998</v>
      </c>
      <c r="M180" s="88">
        <f t="shared" si="40"/>
        <v>1119.4536999999998</v>
      </c>
      <c r="N180" s="88">
        <f t="shared" si="40"/>
        <v>0</v>
      </c>
    </row>
    <row r="181" spans="1:14" x14ac:dyDescent="0.25">
      <c r="A181" s="19"/>
      <c r="B181" s="25">
        <f>'Expense Input'!B26</f>
        <v>100</v>
      </c>
      <c r="C181" s="25">
        <f>'Expense Input'!C26</f>
        <v>4000</v>
      </c>
      <c r="D181" s="25">
        <f>'Expense Input'!D26</f>
        <v>7300</v>
      </c>
      <c r="E181" s="25">
        <f>'Expense Input'!E26</f>
        <v>390</v>
      </c>
      <c r="F181" s="25"/>
      <c r="G181" s="25" t="str">
        <f>'Expense Input'!F26</f>
        <v>Advertising</v>
      </c>
      <c r="H181" s="58">
        <f>+'Expense Input'!M26</f>
        <v>1678.1958</v>
      </c>
      <c r="I181" s="1" t="str">
        <f t="shared" si="41"/>
        <v>*</v>
      </c>
      <c r="M181" s="88">
        <f t="shared" si="40"/>
        <v>1678.1958</v>
      </c>
      <c r="N181" s="88">
        <f t="shared" si="40"/>
        <v>0</v>
      </c>
    </row>
    <row r="182" spans="1:14" s="64" customFormat="1" x14ac:dyDescent="0.25">
      <c r="A182" s="63"/>
      <c r="B182" s="25">
        <f>'Expense Input'!B27</f>
        <v>100</v>
      </c>
      <c r="C182" s="25">
        <f>'Expense Input'!C27</f>
        <v>4000</v>
      </c>
      <c r="D182" s="25">
        <f>'Expense Input'!D27</f>
        <v>7300</v>
      </c>
      <c r="E182" s="25">
        <f>'Expense Input'!E27</f>
        <v>510</v>
      </c>
      <c r="F182" s="25"/>
      <c r="G182" s="25" t="str">
        <f>'Expense Input'!F27</f>
        <v>Office Expense</v>
      </c>
      <c r="H182" s="58">
        <f>+'Expense Input'!M27</f>
        <v>16342.759499999998</v>
      </c>
      <c r="I182" s="1" t="str">
        <f t="shared" si="41"/>
        <v>*</v>
      </c>
      <c r="J182" s="1"/>
      <c r="K182" s="1"/>
      <c r="L182" s="1"/>
      <c r="M182" s="88">
        <f t="shared" si="40"/>
        <v>16342.759499999998</v>
      </c>
      <c r="N182" s="88">
        <f t="shared" si="40"/>
        <v>0</v>
      </c>
    </row>
    <row r="183" spans="1:14" x14ac:dyDescent="0.25">
      <c r="A183" s="19"/>
      <c r="B183" s="25">
        <f>'Expense Input'!B28</f>
        <v>100</v>
      </c>
      <c r="C183" s="25">
        <f>'Expense Input'!C28</f>
        <v>4000</v>
      </c>
      <c r="D183" s="25">
        <f>'Expense Input'!D28</f>
        <v>7300</v>
      </c>
      <c r="E183" s="25">
        <f>'Expense Input'!E28</f>
        <v>642</v>
      </c>
      <c r="F183" s="25"/>
      <c r="G183" s="25" t="str">
        <f>'Expense Input'!F28</f>
        <v>Non Cap Furniture and Equipment</v>
      </c>
      <c r="H183" s="58">
        <f>+'Expense Input'!M28</f>
        <v>605.92930000000013</v>
      </c>
      <c r="I183" s="1" t="str">
        <f t="shared" si="41"/>
        <v>*</v>
      </c>
      <c r="M183" s="88">
        <f t="shared" si="40"/>
        <v>605.92930000000013</v>
      </c>
      <c r="N183" s="88">
        <f t="shared" si="40"/>
        <v>0</v>
      </c>
    </row>
    <row r="184" spans="1:14" x14ac:dyDescent="0.25">
      <c r="A184" s="19"/>
      <c r="B184" s="25">
        <f>'Expense Input'!B29</f>
        <v>100</v>
      </c>
      <c r="C184" s="25">
        <f>'Expense Input'!C29</f>
        <v>4000</v>
      </c>
      <c r="D184" s="25">
        <f>'Expense Input'!D29</f>
        <v>7300</v>
      </c>
      <c r="E184" s="25">
        <f>'Expense Input'!E29</f>
        <v>643</v>
      </c>
      <c r="F184" s="25"/>
      <c r="G184" s="25" t="str">
        <f>'Expense Input'!F29</f>
        <v>Computer Hardware</v>
      </c>
      <c r="H184" s="58">
        <f>+'Expense Input'!M29</f>
        <v>1021.8978</v>
      </c>
      <c r="I184" s="1" t="str">
        <f t="shared" si="41"/>
        <v>*</v>
      </c>
      <c r="M184" s="88">
        <f t="shared" si="40"/>
        <v>1021.8978</v>
      </c>
      <c r="N184" s="88">
        <f t="shared" si="40"/>
        <v>0</v>
      </c>
    </row>
    <row r="185" spans="1:14" hidden="1" x14ac:dyDescent="0.25">
      <c r="A185" s="19"/>
      <c r="B185" s="25"/>
      <c r="C185" s="25"/>
      <c r="D185" s="25"/>
      <c r="E185" s="25"/>
      <c r="F185" s="25"/>
      <c r="G185" s="25"/>
      <c r="H185" s="58"/>
      <c r="I185" s="1" t="str">
        <f t="shared" si="41"/>
        <v/>
      </c>
      <c r="M185" s="88">
        <f t="shared" si="40"/>
        <v>0</v>
      </c>
      <c r="N185" s="88">
        <f t="shared" si="40"/>
        <v>0</v>
      </c>
    </row>
    <row r="186" spans="1:14" hidden="1" x14ac:dyDescent="0.25">
      <c r="A186" s="19"/>
      <c r="B186" s="25"/>
      <c r="C186" s="25"/>
      <c r="D186" s="25"/>
      <c r="E186" s="25"/>
      <c r="F186" s="25"/>
      <c r="G186" s="25"/>
      <c r="H186" s="58"/>
      <c r="I186" s="1" t="str">
        <f t="shared" si="41"/>
        <v/>
      </c>
      <c r="M186" s="88">
        <f t="shared" si="40"/>
        <v>0</v>
      </c>
      <c r="N186" s="88">
        <f t="shared" si="40"/>
        <v>0</v>
      </c>
    </row>
    <row r="187" spans="1:14" hidden="1" x14ac:dyDescent="0.25">
      <c r="A187" s="19"/>
      <c r="B187" s="25"/>
      <c r="C187" s="25"/>
      <c r="D187" s="25"/>
      <c r="E187" s="25"/>
      <c r="F187" s="25"/>
      <c r="G187" s="25"/>
      <c r="H187" s="58"/>
      <c r="I187" s="1" t="str">
        <f t="shared" si="41"/>
        <v/>
      </c>
      <c r="M187" s="88">
        <f t="shared" si="40"/>
        <v>0</v>
      </c>
      <c r="N187" s="88">
        <f t="shared" si="40"/>
        <v>0</v>
      </c>
    </row>
    <row r="188" spans="1:14" x14ac:dyDescent="0.25">
      <c r="A188" s="19"/>
      <c r="B188" s="25"/>
      <c r="C188" s="25"/>
      <c r="D188" s="25"/>
      <c r="E188" s="25"/>
      <c r="F188" s="25"/>
      <c r="G188" s="25"/>
      <c r="H188" s="26"/>
      <c r="I188" s="1" t="str">
        <f>I189</f>
        <v>*</v>
      </c>
      <c r="K188" s="8">
        <f>K170+K179</f>
        <v>48669.392667519998</v>
      </c>
      <c r="M188" s="88">
        <f t="shared" si="40"/>
        <v>0</v>
      </c>
      <c r="N188" s="88">
        <f t="shared" si="40"/>
        <v>0</v>
      </c>
    </row>
    <row r="189" spans="1:14" x14ac:dyDescent="0.25">
      <c r="A189" s="19"/>
      <c r="B189" s="25"/>
      <c r="C189" s="25"/>
      <c r="D189" s="25"/>
      <c r="E189" s="25"/>
      <c r="G189" s="16" t="s">
        <v>39</v>
      </c>
      <c r="H189" s="23">
        <f>SUM(H170:H188)</f>
        <v>48669.392667519998</v>
      </c>
      <c r="I189" s="1" t="str">
        <f t="shared" si="41"/>
        <v>*</v>
      </c>
      <c r="M189" s="88">
        <f t="shared" si="40"/>
        <v>0</v>
      </c>
      <c r="N189" s="88">
        <f t="shared" si="40"/>
        <v>0</v>
      </c>
    </row>
    <row r="190" spans="1:14" x14ac:dyDescent="0.25">
      <c r="A190" s="19"/>
      <c r="B190" s="25"/>
      <c r="C190" s="25"/>
      <c r="D190" s="25"/>
      <c r="E190" s="25"/>
      <c r="F190" s="1"/>
      <c r="G190" s="3"/>
      <c r="I190" s="1" t="str">
        <f>I189</f>
        <v>*</v>
      </c>
      <c r="M190" s="88">
        <f t="shared" si="40"/>
        <v>0</v>
      </c>
      <c r="N190" s="88">
        <f t="shared" si="40"/>
        <v>0</v>
      </c>
    </row>
    <row r="191" spans="1:14" hidden="1" x14ac:dyDescent="0.25">
      <c r="A191" s="19"/>
      <c r="B191" s="139">
        <f>+'Expense Input'!B30</f>
        <v>100</v>
      </c>
      <c r="C191" s="139">
        <f>+'Expense Input'!C30</f>
        <v>4000</v>
      </c>
      <c r="D191" s="139">
        <f>+'Expense Input'!D30</f>
        <v>7400</v>
      </c>
      <c r="E191" s="139">
        <f>+'Expense Input'!E30</f>
        <v>360</v>
      </c>
      <c r="F191" s="64"/>
      <c r="G191" s="64" t="str">
        <f>+'Expense Input'!F30</f>
        <v>Facility Lease</v>
      </c>
      <c r="H191" s="58">
        <f>+'Expense Input'!M30</f>
        <v>0</v>
      </c>
      <c r="I191" s="1" t="str">
        <f t="shared" si="41"/>
        <v/>
      </c>
      <c r="K191" s="8">
        <f>SUM(H191:H193)</f>
        <v>21000</v>
      </c>
      <c r="M191" s="88">
        <f t="shared" si="40"/>
        <v>0</v>
      </c>
      <c r="N191" s="88">
        <f t="shared" si="40"/>
        <v>0</v>
      </c>
    </row>
    <row r="192" spans="1:14" s="64" customFormat="1" x14ac:dyDescent="0.25">
      <c r="A192" s="63"/>
      <c r="B192" s="139">
        <f>+'Expense Input'!B31</f>
        <v>360</v>
      </c>
      <c r="C192" s="139">
        <f>+'Expense Input'!C31</f>
        <v>4000</v>
      </c>
      <c r="D192" s="139">
        <f>+'Expense Input'!D31</f>
        <v>7400</v>
      </c>
      <c r="E192" s="139">
        <f>+'Expense Input'!E31</f>
        <v>360</v>
      </c>
      <c r="G192" s="64" t="str">
        <f>+'Expense Input'!F31</f>
        <v>Facility Lease</v>
      </c>
      <c r="H192" s="58">
        <f>+'Expense Input'!M31</f>
        <v>21000</v>
      </c>
      <c r="I192" s="1" t="str">
        <f>IF(SUM(H192)&gt;0.49,"*","")</f>
        <v>*</v>
      </c>
      <c r="K192" s="65">
        <f>SUM('Expense Input'!M30:M32)</f>
        <v>21000</v>
      </c>
      <c r="M192" s="88">
        <f t="shared" si="40"/>
        <v>0</v>
      </c>
      <c r="N192" s="88">
        <f t="shared" si="40"/>
        <v>21000</v>
      </c>
    </row>
    <row r="193" spans="1:17" hidden="1" x14ac:dyDescent="0.25">
      <c r="A193" s="19"/>
      <c r="B193" s="139">
        <f>+'Expense Input'!B32</f>
        <v>100</v>
      </c>
      <c r="C193" s="139">
        <f>+'Expense Input'!C32</f>
        <v>4000</v>
      </c>
      <c r="D193" s="139">
        <f>+'Expense Input'!D32</f>
        <v>7400</v>
      </c>
      <c r="E193" s="139">
        <f>+'Expense Input'!E32</f>
        <v>630</v>
      </c>
      <c r="F193" s="64"/>
      <c r="G193" s="64" t="str">
        <f>+'Expense Input'!F32</f>
        <v>Facility Cost</v>
      </c>
      <c r="H193" s="58">
        <f>+'Expense Input'!M32</f>
        <v>0</v>
      </c>
      <c r="I193" s="1" t="str">
        <f>IF(SUM(H193)&gt;0.49,"*","")</f>
        <v/>
      </c>
      <c r="M193" s="88">
        <f t="shared" si="40"/>
        <v>0</v>
      </c>
      <c r="N193" s="88">
        <f t="shared" si="40"/>
        <v>0</v>
      </c>
    </row>
    <row r="194" spans="1:17" hidden="1" x14ac:dyDescent="0.25">
      <c r="A194" s="19"/>
      <c r="B194" s="25"/>
      <c r="C194" s="25"/>
      <c r="D194" s="25"/>
      <c r="E194" s="25"/>
      <c r="F194" s="1"/>
      <c r="H194" s="24"/>
      <c r="I194" s="1" t="str">
        <f>IF(SUM(H194)&gt;0.49,"*","")</f>
        <v/>
      </c>
      <c r="M194" s="88">
        <f t="shared" si="40"/>
        <v>0</v>
      </c>
      <c r="N194" s="88">
        <f t="shared" si="40"/>
        <v>0</v>
      </c>
    </row>
    <row r="195" spans="1:17" x14ac:dyDescent="0.25">
      <c r="A195" s="19"/>
      <c r="B195" s="25"/>
      <c r="C195" s="25"/>
      <c r="D195" s="25"/>
      <c r="E195" s="25"/>
      <c r="F195" s="1"/>
      <c r="H195" s="26"/>
      <c r="I195" s="1" t="str">
        <f>IF(I196="*","*","")</f>
        <v>*</v>
      </c>
      <c r="M195" s="88">
        <f t="shared" si="40"/>
        <v>0</v>
      </c>
      <c r="N195" s="88">
        <f t="shared" si="40"/>
        <v>0</v>
      </c>
    </row>
    <row r="196" spans="1:17" x14ac:dyDescent="0.25">
      <c r="A196" s="19"/>
      <c r="B196" s="25"/>
      <c r="C196" s="25"/>
      <c r="D196" s="25"/>
      <c r="E196" s="25"/>
      <c r="F196" s="1"/>
      <c r="G196" s="16" t="s">
        <v>47</v>
      </c>
      <c r="H196" s="23">
        <f>SUM(H191:H195)</f>
        <v>21000</v>
      </c>
      <c r="I196" s="1" t="str">
        <f>IF(SUM(H196)&gt;0.49,"*","")</f>
        <v>*</v>
      </c>
      <c r="M196" s="88">
        <f t="shared" si="40"/>
        <v>0</v>
      </c>
      <c r="N196" s="88">
        <f t="shared" si="40"/>
        <v>0</v>
      </c>
      <c r="Q196" s="8"/>
    </row>
    <row r="197" spans="1:17" x14ac:dyDescent="0.25">
      <c r="A197" s="19"/>
      <c r="B197" s="25"/>
      <c r="C197" s="25"/>
      <c r="D197" s="25"/>
      <c r="E197" s="25"/>
      <c r="F197" s="1"/>
      <c r="G197" s="16"/>
      <c r="H197" s="24"/>
      <c r="I197" s="1" t="str">
        <f>IF(I196="*","*","")</f>
        <v>*</v>
      </c>
      <c r="M197" s="88">
        <f t="shared" si="40"/>
        <v>0</v>
      </c>
      <c r="N197" s="88">
        <f t="shared" si="40"/>
        <v>0</v>
      </c>
    </row>
    <row r="198" spans="1:17" hidden="1" x14ac:dyDescent="0.25">
      <c r="A198" s="63"/>
      <c r="B198" s="25"/>
      <c r="C198" s="25"/>
      <c r="D198" s="25"/>
      <c r="E198" s="25"/>
      <c r="F198" s="64"/>
      <c r="G198" s="66"/>
      <c r="H198" s="58"/>
      <c r="I198" s="1" t="str">
        <f t="shared" ref="I198:I203" si="42">IF(SUM(H198)&gt;0.49,"*","")</f>
        <v/>
      </c>
      <c r="M198" s="88">
        <f t="shared" si="40"/>
        <v>0</v>
      </c>
      <c r="N198" s="88">
        <f t="shared" si="40"/>
        <v>0</v>
      </c>
    </row>
    <row r="199" spans="1:17" x14ac:dyDescent="0.25">
      <c r="A199" s="63"/>
      <c r="B199" s="25">
        <f>'Expense Input'!B33</f>
        <v>100</v>
      </c>
      <c r="C199" s="25">
        <f>'Expense Input'!C33</f>
        <v>4000</v>
      </c>
      <c r="D199" s="25">
        <f>'Expense Input'!D33</f>
        <v>7500</v>
      </c>
      <c r="E199" s="25">
        <f>'Expense Input'!E33</f>
        <v>310</v>
      </c>
      <c r="F199" s="64"/>
      <c r="G199" s="64" t="str">
        <f>'Expense Input'!F33</f>
        <v>Contract Controller Service</v>
      </c>
      <c r="H199" s="58">
        <f>+'Expense Input'!M33</f>
        <v>21263.6355</v>
      </c>
      <c r="I199" s="1" t="str">
        <f t="shared" si="42"/>
        <v>*</v>
      </c>
      <c r="K199" s="8">
        <f>SUM(H199:H200)</f>
        <v>27033.129635999998</v>
      </c>
      <c r="M199" s="88">
        <f t="shared" si="40"/>
        <v>21263.6355</v>
      </c>
      <c r="N199" s="88">
        <f t="shared" si="40"/>
        <v>0</v>
      </c>
    </row>
    <row r="200" spans="1:17" x14ac:dyDescent="0.25">
      <c r="A200" s="63"/>
      <c r="B200" s="25">
        <f>'Expense Input'!B34</f>
        <v>100</v>
      </c>
      <c r="C200" s="25">
        <f>'Expense Input'!C34</f>
        <v>4000</v>
      </c>
      <c r="D200" s="25">
        <f>'Expense Input'!D34</f>
        <v>7500</v>
      </c>
      <c r="E200" s="25">
        <f>'Expense Input'!E34</f>
        <v>311</v>
      </c>
      <c r="F200" s="64"/>
      <c r="G200" s="64" t="str">
        <f>'Expense Input'!F34</f>
        <v>Payroll Service</v>
      </c>
      <c r="H200" s="58">
        <f>+'Expense Input'!M34</f>
        <v>5769.4941359999993</v>
      </c>
      <c r="I200" s="1" t="str">
        <f t="shared" si="42"/>
        <v>*</v>
      </c>
      <c r="K200" s="8">
        <f>SUM('Expense Input'!M33:M34)</f>
        <v>27033.129635999998</v>
      </c>
      <c r="M200" s="88">
        <f t="shared" si="40"/>
        <v>5769.4941359999993</v>
      </c>
      <c r="N200" s="88">
        <f t="shared" si="40"/>
        <v>0</v>
      </c>
    </row>
    <row r="201" spans="1:17" hidden="1" x14ac:dyDescent="0.25">
      <c r="A201" s="63"/>
      <c r="B201" s="25"/>
      <c r="C201" s="25"/>
      <c r="D201" s="25"/>
      <c r="E201" s="25"/>
      <c r="F201" s="64"/>
      <c r="G201" s="64"/>
      <c r="H201" s="58"/>
      <c r="I201" s="1" t="str">
        <f t="shared" si="42"/>
        <v/>
      </c>
      <c r="M201" s="88">
        <f t="shared" si="40"/>
        <v>0</v>
      </c>
      <c r="N201" s="88">
        <f t="shared" si="40"/>
        <v>0</v>
      </c>
    </row>
    <row r="202" spans="1:17" hidden="1" x14ac:dyDescent="0.25">
      <c r="A202" s="19"/>
      <c r="B202" s="25"/>
      <c r="C202" s="25"/>
      <c r="D202" s="25"/>
      <c r="E202" s="25"/>
      <c r="F202" s="64"/>
      <c r="G202" s="64"/>
      <c r="H202" s="58"/>
      <c r="I202" s="1" t="str">
        <f t="shared" si="42"/>
        <v/>
      </c>
      <c r="M202" s="88">
        <f t="shared" si="40"/>
        <v>0</v>
      </c>
      <c r="N202" s="88">
        <f t="shared" si="40"/>
        <v>0</v>
      </c>
    </row>
    <row r="203" spans="1:17" hidden="1" x14ac:dyDescent="0.25">
      <c r="A203" s="19"/>
      <c r="B203" s="25"/>
      <c r="C203" s="25"/>
      <c r="D203" s="25"/>
      <c r="E203" s="25"/>
      <c r="F203" s="1"/>
      <c r="H203" s="24"/>
      <c r="I203" s="1" t="str">
        <f t="shared" si="42"/>
        <v/>
      </c>
      <c r="M203" s="88">
        <f t="shared" si="40"/>
        <v>0</v>
      </c>
      <c r="N203" s="88">
        <f t="shared" si="40"/>
        <v>0</v>
      </c>
    </row>
    <row r="204" spans="1:17" x14ac:dyDescent="0.25">
      <c r="A204" s="19"/>
      <c r="B204" s="25"/>
      <c r="C204" s="25"/>
      <c r="D204" s="25"/>
      <c r="E204" s="25"/>
      <c r="F204" s="1"/>
      <c r="H204" s="26"/>
      <c r="I204" s="1" t="str">
        <f>IF(I205="*","*","")</f>
        <v>*</v>
      </c>
      <c r="M204" s="88">
        <f t="shared" si="40"/>
        <v>0</v>
      </c>
      <c r="N204" s="88">
        <f t="shared" si="40"/>
        <v>0</v>
      </c>
      <c r="Q204" s="8"/>
    </row>
    <row r="205" spans="1:17" x14ac:dyDescent="0.25">
      <c r="A205" s="19"/>
      <c r="B205" s="25"/>
      <c r="C205" s="25"/>
      <c r="D205" s="25"/>
      <c r="E205" s="25"/>
      <c r="G205" s="16" t="s">
        <v>40</v>
      </c>
      <c r="H205" s="23">
        <f>SUM(H199:H204)</f>
        <v>27033.129635999998</v>
      </c>
      <c r="I205" s="1" t="str">
        <f>IF(SUM(H205)&gt;0.49,"*","")</f>
        <v>*</v>
      </c>
      <c r="M205" s="88">
        <f t="shared" si="40"/>
        <v>0</v>
      </c>
      <c r="N205" s="88">
        <f t="shared" si="40"/>
        <v>0</v>
      </c>
    </row>
    <row r="206" spans="1:17" x14ac:dyDescent="0.25">
      <c r="A206" s="19"/>
      <c r="B206" s="25"/>
      <c r="C206" s="25"/>
      <c r="D206" s="25"/>
      <c r="E206" s="25"/>
      <c r="G206" s="16"/>
      <c r="I206" s="1" t="str">
        <f>IF(I205="*","*","")</f>
        <v>*</v>
      </c>
      <c r="M206" s="88">
        <f t="shared" si="40"/>
        <v>0</v>
      </c>
      <c r="N206" s="88">
        <f t="shared" si="40"/>
        <v>0</v>
      </c>
    </row>
    <row r="207" spans="1:17" hidden="1" x14ac:dyDescent="0.25">
      <c r="A207" s="19"/>
      <c r="B207" s="25">
        <v>410</v>
      </c>
      <c r="C207" s="25">
        <v>4000</v>
      </c>
      <c r="D207" s="25">
        <v>7600</v>
      </c>
      <c r="E207" s="25">
        <v>150</v>
      </c>
      <c r="F207" s="25"/>
      <c r="G207" s="25" t="s">
        <v>67</v>
      </c>
      <c r="H207" s="58">
        <f>+Payroll!E103</f>
        <v>0</v>
      </c>
      <c r="I207" s="1" t="str">
        <f t="shared" ref="I207:I218" si="43">IF(SUM(H207)&gt;0.49,"*","")</f>
        <v/>
      </c>
      <c r="M207" s="88">
        <f t="shared" si="40"/>
        <v>0</v>
      </c>
      <c r="N207" s="88">
        <f t="shared" si="40"/>
        <v>0</v>
      </c>
    </row>
    <row r="208" spans="1:17" hidden="1" x14ac:dyDescent="0.25">
      <c r="A208" s="19"/>
      <c r="B208" s="25">
        <v>410</v>
      </c>
      <c r="C208" s="25">
        <v>4000</v>
      </c>
      <c r="D208" s="25">
        <v>7600</v>
      </c>
      <c r="E208" s="25">
        <v>210</v>
      </c>
      <c r="F208" s="25"/>
      <c r="G208" s="25" t="s">
        <v>49</v>
      </c>
      <c r="H208" s="58">
        <f>+Payroll!F103</f>
        <v>0</v>
      </c>
      <c r="I208" s="1" t="str">
        <f t="shared" si="43"/>
        <v/>
      </c>
      <c r="M208" s="88">
        <f t="shared" si="40"/>
        <v>0</v>
      </c>
      <c r="N208" s="88">
        <f t="shared" si="40"/>
        <v>0</v>
      </c>
    </row>
    <row r="209" spans="1:14" hidden="1" x14ac:dyDescent="0.25">
      <c r="A209" s="19"/>
      <c r="B209" s="25">
        <v>410</v>
      </c>
      <c r="C209" s="25">
        <v>4000</v>
      </c>
      <c r="D209" s="25">
        <v>7600</v>
      </c>
      <c r="E209" s="25">
        <v>220</v>
      </c>
      <c r="F209" s="25"/>
      <c r="G209" s="25" t="s">
        <v>50</v>
      </c>
      <c r="H209" s="58">
        <f>+Payroll!H103</f>
        <v>0</v>
      </c>
      <c r="I209" s="1" t="str">
        <f t="shared" si="43"/>
        <v/>
      </c>
      <c r="M209" s="88">
        <f t="shared" ref="M209:N240" si="44">IF($B209=M$14,$H209,0)</f>
        <v>0</v>
      </c>
      <c r="N209" s="88">
        <f t="shared" si="44"/>
        <v>0</v>
      </c>
    </row>
    <row r="210" spans="1:14" hidden="1" x14ac:dyDescent="0.25">
      <c r="A210" s="19"/>
      <c r="B210" s="25">
        <v>410</v>
      </c>
      <c r="C210" s="25">
        <v>4000</v>
      </c>
      <c r="D210" s="25">
        <v>7600</v>
      </c>
      <c r="E210" s="25">
        <v>230</v>
      </c>
      <c r="F210" s="25"/>
      <c r="G210" s="25" t="s">
        <v>51</v>
      </c>
      <c r="H210" s="58">
        <f>+Payroll!I103</f>
        <v>0</v>
      </c>
      <c r="I210" s="1" t="str">
        <f t="shared" si="43"/>
        <v/>
      </c>
      <c r="M210" s="88">
        <f t="shared" si="44"/>
        <v>0</v>
      </c>
      <c r="N210" s="88">
        <f t="shared" si="44"/>
        <v>0</v>
      </c>
    </row>
    <row r="211" spans="1:14" hidden="1" x14ac:dyDescent="0.25">
      <c r="A211" s="19"/>
      <c r="B211" s="25">
        <v>410</v>
      </c>
      <c r="C211" s="25">
        <v>4000</v>
      </c>
      <c r="D211" s="25">
        <v>7600</v>
      </c>
      <c r="E211" s="25">
        <v>240</v>
      </c>
      <c r="F211" s="25"/>
      <c r="G211" s="25" t="s">
        <v>52</v>
      </c>
      <c r="H211" s="58">
        <f>+Payroll!K103</f>
        <v>0</v>
      </c>
      <c r="I211" s="1" t="str">
        <f t="shared" si="43"/>
        <v/>
      </c>
      <c r="M211" s="88">
        <f t="shared" si="44"/>
        <v>0</v>
      </c>
      <c r="N211" s="88">
        <f t="shared" si="44"/>
        <v>0</v>
      </c>
    </row>
    <row r="212" spans="1:14" hidden="1" x14ac:dyDescent="0.25">
      <c r="A212" s="19"/>
      <c r="B212" s="25">
        <v>410</v>
      </c>
      <c r="C212" s="25">
        <v>4000</v>
      </c>
      <c r="D212" s="25">
        <v>7600</v>
      </c>
      <c r="E212" s="25">
        <v>250</v>
      </c>
      <c r="F212" s="25"/>
      <c r="G212" s="25" t="s">
        <v>53</v>
      </c>
      <c r="H212" s="58">
        <f>+Payroll!L103</f>
        <v>0</v>
      </c>
      <c r="I212" s="1" t="str">
        <f>IF(SUM(H209)&gt;0.49,"*","")</f>
        <v/>
      </c>
      <c r="M212" s="88">
        <f t="shared" si="44"/>
        <v>0</v>
      </c>
      <c r="N212" s="88">
        <f t="shared" si="44"/>
        <v>0</v>
      </c>
    </row>
    <row r="213" spans="1:14" hidden="1" x14ac:dyDescent="0.25">
      <c r="A213" s="19"/>
      <c r="B213" s="25"/>
      <c r="C213" s="25"/>
      <c r="D213" s="25"/>
      <c r="E213" s="25"/>
      <c r="H213" s="58"/>
      <c r="I213" s="1" t="str">
        <f t="shared" si="43"/>
        <v/>
      </c>
      <c r="M213" s="88">
        <f t="shared" si="44"/>
        <v>0</v>
      </c>
      <c r="N213" s="88">
        <f t="shared" si="44"/>
        <v>0</v>
      </c>
    </row>
    <row r="214" spans="1:14" hidden="1" x14ac:dyDescent="0.25">
      <c r="A214" s="19"/>
      <c r="B214" s="25"/>
      <c r="C214" s="25"/>
      <c r="D214" s="25"/>
      <c r="E214" s="25"/>
      <c r="H214" s="58"/>
      <c r="I214" s="1" t="str">
        <f t="shared" si="43"/>
        <v/>
      </c>
      <c r="M214" s="88">
        <f t="shared" si="44"/>
        <v>0</v>
      </c>
      <c r="N214" s="88">
        <f t="shared" si="44"/>
        <v>0</v>
      </c>
    </row>
    <row r="215" spans="1:14" hidden="1" x14ac:dyDescent="0.25">
      <c r="A215" s="19"/>
      <c r="B215" s="25"/>
      <c r="C215" s="25"/>
      <c r="D215" s="25"/>
      <c r="E215" s="25"/>
      <c r="H215" s="58"/>
      <c r="I215" s="1" t="str">
        <f t="shared" si="43"/>
        <v/>
      </c>
      <c r="M215" s="88">
        <f t="shared" si="44"/>
        <v>0</v>
      </c>
      <c r="N215" s="88">
        <f t="shared" si="44"/>
        <v>0</v>
      </c>
    </row>
    <row r="216" spans="1:14" hidden="1" x14ac:dyDescent="0.25">
      <c r="A216" s="19"/>
      <c r="B216" s="25"/>
      <c r="C216" s="25"/>
      <c r="D216" s="25"/>
      <c r="E216" s="25"/>
      <c r="H216" s="58"/>
      <c r="I216" s="1" t="str">
        <f t="shared" si="43"/>
        <v/>
      </c>
      <c r="M216" s="88">
        <f t="shared" si="44"/>
        <v>0</v>
      </c>
      <c r="N216" s="88">
        <f t="shared" si="44"/>
        <v>0</v>
      </c>
    </row>
    <row r="217" spans="1:14" hidden="1" x14ac:dyDescent="0.25">
      <c r="A217" s="19"/>
      <c r="B217" s="25"/>
      <c r="C217" s="25"/>
      <c r="D217" s="25"/>
      <c r="E217" s="25"/>
      <c r="H217" s="58"/>
      <c r="I217" s="1" t="str">
        <f t="shared" si="43"/>
        <v/>
      </c>
      <c r="M217" s="88">
        <f t="shared" si="44"/>
        <v>0</v>
      </c>
      <c r="N217" s="88">
        <f t="shared" si="44"/>
        <v>0</v>
      </c>
    </row>
    <row r="218" spans="1:14" hidden="1" x14ac:dyDescent="0.25">
      <c r="A218" s="19"/>
      <c r="B218" s="25"/>
      <c r="C218" s="25"/>
      <c r="D218" s="25"/>
      <c r="E218" s="25"/>
      <c r="H218" s="58"/>
      <c r="I218" s="1" t="str">
        <f t="shared" si="43"/>
        <v/>
      </c>
      <c r="M218" s="88">
        <f t="shared" si="44"/>
        <v>0</v>
      </c>
      <c r="N218" s="88">
        <f t="shared" si="44"/>
        <v>0</v>
      </c>
    </row>
    <row r="219" spans="1:14" hidden="1" x14ac:dyDescent="0.25">
      <c r="A219" s="19"/>
      <c r="B219" s="25"/>
      <c r="C219" s="25"/>
      <c r="D219" s="25"/>
      <c r="E219" s="25"/>
      <c r="F219" s="25"/>
      <c r="G219" s="25"/>
      <c r="H219" s="26"/>
      <c r="I219" s="1" t="str">
        <f>IF(I220="*","*","")</f>
        <v/>
      </c>
      <c r="M219" s="88">
        <f t="shared" si="44"/>
        <v>0</v>
      </c>
      <c r="N219" s="88">
        <f t="shared" si="44"/>
        <v>0</v>
      </c>
    </row>
    <row r="220" spans="1:14" hidden="1" x14ac:dyDescent="0.25">
      <c r="A220" s="19"/>
      <c r="B220" s="25"/>
      <c r="C220" s="25"/>
      <c r="D220" s="25"/>
      <c r="E220" s="25"/>
      <c r="G220" s="16" t="s">
        <v>41</v>
      </c>
      <c r="H220" s="23">
        <f t="shared" ref="H220" si="45">SUM(H207:H219)</f>
        <v>0</v>
      </c>
      <c r="I220" s="1" t="str">
        <f>IF(SUM(H220)&gt;0.49,"*","")</f>
        <v/>
      </c>
      <c r="M220" s="88">
        <f t="shared" si="44"/>
        <v>0</v>
      </c>
      <c r="N220" s="88">
        <f t="shared" si="44"/>
        <v>0</v>
      </c>
    </row>
    <row r="221" spans="1:14" hidden="1" x14ac:dyDescent="0.25">
      <c r="A221" s="19"/>
      <c r="B221" s="25"/>
      <c r="C221" s="25"/>
      <c r="D221" s="25"/>
      <c r="E221" s="25"/>
      <c r="F221" s="25"/>
      <c r="G221" s="25"/>
      <c r="H221" s="26"/>
      <c r="I221" s="1" t="str">
        <f>IF(I220="*","*","")</f>
        <v/>
      </c>
      <c r="M221" s="88">
        <f t="shared" si="44"/>
        <v>0</v>
      </c>
      <c r="N221" s="88">
        <f t="shared" si="44"/>
        <v>0</v>
      </c>
    </row>
    <row r="222" spans="1:14" hidden="1" x14ac:dyDescent="0.25">
      <c r="A222" s="19"/>
      <c r="B222" s="25">
        <v>100</v>
      </c>
      <c r="C222" s="25">
        <v>4000</v>
      </c>
      <c r="D222" s="25">
        <v>7800</v>
      </c>
      <c r="E222" s="25">
        <v>160</v>
      </c>
      <c r="F222" s="25"/>
      <c r="G222" s="25" t="s">
        <v>81</v>
      </c>
      <c r="H222" s="58">
        <f>+Payroll!E86</f>
        <v>0</v>
      </c>
      <c r="I222" s="1" t="str">
        <f t="shared" ref="I222:I239" si="46">IF(SUM(H222)&gt;0.49,"*","")</f>
        <v/>
      </c>
      <c r="M222" s="88">
        <f t="shared" si="44"/>
        <v>0</v>
      </c>
      <c r="N222" s="88">
        <f t="shared" si="44"/>
        <v>0</v>
      </c>
    </row>
    <row r="223" spans="1:14" hidden="1" x14ac:dyDescent="0.25">
      <c r="A223" s="19"/>
      <c r="B223" s="25">
        <v>100</v>
      </c>
      <c r="C223" s="25">
        <v>4000</v>
      </c>
      <c r="D223" s="25">
        <v>7800</v>
      </c>
      <c r="E223" s="25">
        <v>210</v>
      </c>
      <c r="F223" s="25"/>
      <c r="G223" s="25" t="s">
        <v>49</v>
      </c>
      <c r="H223" s="58">
        <f>+Payroll!F86</f>
        <v>0</v>
      </c>
      <c r="I223" s="1" t="str">
        <f t="shared" si="46"/>
        <v/>
      </c>
      <c r="M223" s="88">
        <f t="shared" si="44"/>
        <v>0</v>
      </c>
      <c r="N223" s="88">
        <f t="shared" si="44"/>
        <v>0</v>
      </c>
    </row>
    <row r="224" spans="1:14" hidden="1" x14ac:dyDescent="0.25">
      <c r="A224" s="19"/>
      <c r="B224" s="25">
        <v>100</v>
      </c>
      <c r="C224" s="25">
        <v>4000</v>
      </c>
      <c r="D224" s="25">
        <v>7800</v>
      </c>
      <c r="E224" s="25">
        <v>220</v>
      </c>
      <c r="F224" s="25"/>
      <c r="G224" s="25" t="s">
        <v>50</v>
      </c>
      <c r="H224" s="58">
        <f>+Payroll!H86</f>
        <v>0</v>
      </c>
      <c r="I224" s="1" t="str">
        <f t="shared" si="46"/>
        <v/>
      </c>
      <c r="M224" s="88">
        <f t="shared" si="44"/>
        <v>0</v>
      </c>
      <c r="N224" s="88">
        <f t="shared" si="44"/>
        <v>0</v>
      </c>
    </row>
    <row r="225" spans="1:14" hidden="1" x14ac:dyDescent="0.25">
      <c r="A225" s="19"/>
      <c r="B225" s="25">
        <v>100</v>
      </c>
      <c r="C225" s="25">
        <v>4000</v>
      </c>
      <c r="D225" s="25">
        <v>7800</v>
      </c>
      <c r="E225" s="25">
        <v>230</v>
      </c>
      <c r="F225" s="25"/>
      <c r="G225" s="25" t="s">
        <v>51</v>
      </c>
      <c r="H225" s="58">
        <f>+Payroll!I86</f>
        <v>0</v>
      </c>
      <c r="I225" s="1" t="str">
        <f t="shared" si="46"/>
        <v/>
      </c>
      <c r="M225" s="88">
        <f t="shared" si="44"/>
        <v>0</v>
      </c>
      <c r="N225" s="88">
        <f t="shared" si="44"/>
        <v>0</v>
      </c>
    </row>
    <row r="226" spans="1:14" hidden="1" x14ac:dyDescent="0.25">
      <c r="A226" s="19"/>
      <c r="B226" s="25">
        <v>100</v>
      </c>
      <c r="C226" s="25">
        <v>4000</v>
      </c>
      <c r="D226" s="25">
        <v>7800</v>
      </c>
      <c r="E226" s="25">
        <v>240</v>
      </c>
      <c r="F226" s="25"/>
      <c r="G226" s="25" t="s">
        <v>52</v>
      </c>
      <c r="H226" s="58">
        <f>+Payroll!K86</f>
        <v>0</v>
      </c>
      <c r="I226" s="1" t="str">
        <f t="shared" si="46"/>
        <v/>
      </c>
      <c r="M226" s="88">
        <f t="shared" si="44"/>
        <v>0</v>
      </c>
      <c r="N226" s="88">
        <f t="shared" si="44"/>
        <v>0</v>
      </c>
    </row>
    <row r="227" spans="1:14" hidden="1" x14ac:dyDescent="0.25">
      <c r="A227" s="19"/>
      <c r="B227" s="25">
        <v>100</v>
      </c>
      <c r="C227" s="25">
        <v>4000</v>
      </c>
      <c r="D227" s="25">
        <v>7800</v>
      </c>
      <c r="E227" s="25">
        <v>250</v>
      </c>
      <c r="F227" s="25"/>
      <c r="G227" s="25" t="s">
        <v>53</v>
      </c>
      <c r="H227" s="58">
        <f>+Payroll!L86</f>
        <v>0</v>
      </c>
      <c r="I227" s="1" t="str">
        <f t="shared" si="46"/>
        <v/>
      </c>
      <c r="M227" s="88">
        <f t="shared" si="44"/>
        <v>0</v>
      </c>
      <c r="N227" s="88">
        <f t="shared" si="44"/>
        <v>0</v>
      </c>
    </row>
    <row r="228" spans="1:14" x14ac:dyDescent="0.25">
      <c r="A228" s="19"/>
      <c r="B228" s="31">
        <f>+'Expense Input'!B35</f>
        <v>100</v>
      </c>
      <c r="C228" s="31">
        <f>+'Expense Input'!C35</f>
        <v>4000</v>
      </c>
      <c r="D228" s="31">
        <f>+'Expense Input'!D35</f>
        <v>7800</v>
      </c>
      <c r="E228" s="31">
        <f>+'Expense Input'!E35</f>
        <v>350</v>
      </c>
      <c r="F228" s="31"/>
      <c r="G228" s="31" t="str">
        <f>+'Expense Input'!F35</f>
        <v>Transportation - Contracted Services</v>
      </c>
      <c r="H228" s="58">
        <f>+'Expense Input'!M35</f>
        <v>14796.5</v>
      </c>
      <c r="I228" s="1" t="str">
        <f t="shared" ref="I228" si="47">IF(SUM(H228)&gt;0.49,"*","")</f>
        <v>*</v>
      </c>
      <c r="K228" s="8">
        <f>SUM(H228:H229)</f>
        <v>22952.815600000002</v>
      </c>
      <c r="M228" s="88">
        <f t="shared" si="44"/>
        <v>14796.5</v>
      </c>
      <c r="N228" s="88">
        <f t="shared" si="44"/>
        <v>0</v>
      </c>
    </row>
    <row r="229" spans="1:14" x14ac:dyDescent="0.25">
      <c r="A229" s="19"/>
      <c r="B229" s="31">
        <f>+'Expense Input'!B36</f>
        <v>100</v>
      </c>
      <c r="C229" s="31">
        <f>+'Expense Input'!C36</f>
        <v>4000</v>
      </c>
      <c r="D229" s="31">
        <f>+'Expense Input'!D36</f>
        <v>7800</v>
      </c>
      <c r="E229" s="31">
        <f>+'Expense Input'!E36</f>
        <v>550</v>
      </c>
      <c r="F229" s="31"/>
      <c r="G229" s="31" t="str">
        <f>+'Expense Input'!F36</f>
        <v>Transportation - Repair</v>
      </c>
      <c r="H229" s="58">
        <f>+'Expense Input'!M36</f>
        <v>8156.3155999999999</v>
      </c>
      <c r="I229" s="1" t="str">
        <f t="shared" si="46"/>
        <v>*</v>
      </c>
      <c r="K229" s="8">
        <f>SUM('Expense Input'!M35:M38)</f>
        <v>22952.815600000002</v>
      </c>
      <c r="M229" s="88">
        <f t="shared" si="44"/>
        <v>8156.3155999999999</v>
      </c>
      <c r="N229" s="88">
        <f t="shared" si="44"/>
        <v>0</v>
      </c>
    </row>
    <row r="230" spans="1:14" hidden="1" x14ac:dyDescent="0.25">
      <c r="A230" s="19"/>
      <c r="B230" s="25">
        <f>+'Expense Input'!B37</f>
        <v>100</v>
      </c>
      <c r="C230" s="25">
        <f>+'Expense Input'!C37</f>
        <v>4000</v>
      </c>
      <c r="D230" s="25">
        <f>+'Expense Input'!D37</f>
        <v>7800</v>
      </c>
      <c r="E230" s="25">
        <f>+'Expense Input'!E37</f>
        <v>640</v>
      </c>
      <c r="F230" s="25"/>
      <c r="G230" s="25" t="str">
        <f>+'Expense Input'!F37</f>
        <v>Transportation - Other Vehicles</v>
      </c>
      <c r="H230" s="58">
        <f>+'Expense Input'!M37</f>
        <v>0</v>
      </c>
      <c r="I230" s="1" t="str">
        <f t="shared" si="46"/>
        <v/>
      </c>
      <c r="M230" s="88">
        <f t="shared" si="44"/>
        <v>0</v>
      </c>
      <c r="N230" s="88">
        <f t="shared" si="44"/>
        <v>0</v>
      </c>
    </row>
    <row r="231" spans="1:14" hidden="1" x14ac:dyDescent="0.25">
      <c r="A231" s="19"/>
      <c r="B231" s="25">
        <f>+'Expense Input'!B38</f>
        <v>360</v>
      </c>
      <c r="C231" s="25">
        <f>+'Expense Input'!C38</f>
        <v>4000</v>
      </c>
      <c r="D231" s="25">
        <f>+'Expense Input'!D38</f>
        <v>7800</v>
      </c>
      <c r="E231" s="25">
        <f>+'Expense Input'!E38</f>
        <v>640</v>
      </c>
      <c r="F231" s="25"/>
      <c r="G231" s="25" t="str">
        <f>+'Expense Input'!F38</f>
        <v>Transportation - Other Vehicles</v>
      </c>
      <c r="H231" s="58">
        <f>+'Expense Input'!M38</f>
        <v>0</v>
      </c>
      <c r="I231" s="1" t="str">
        <f t="shared" si="46"/>
        <v/>
      </c>
      <c r="M231" s="88">
        <f t="shared" si="44"/>
        <v>0</v>
      </c>
      <c r="N231" s="88">
        <f t="shared" si="44"/>
        <v>0</v>
      </c>
    </row>
    <row r="232" spans="1:14" hidden="1" x14ac:dyDescent="0.25">
      <c r="A232" s="19"/>
      <c r="B232" s="25"/>
      <c r="C232" s="25"/>
      <c r="D232" s="25"/>
      <c r="E232" s="25"/>
      <c r="F232" s="25"/>
      <c r="G232" s="25"/>
      <c r="H232" s="58"/>
      <c r="I232" s="1" t="str">
        <f t="shared" si="46"/>
        <v/>
      </c>
      <c r="M232" s="88">
        <f t="shared" si="44"/>
        <v>0</v>
      </c>
      <c r="N232" s="88">
        <f t="shared" si="44"/>
        <v>0</v>
      </c>
    </row>
    <row r="233" spans="1:14" hidden="1" x14ac:dyDescent="0.25">
      <c r="A233" s="19"/>
      <c r="B233" s="25"/>
      <c r="C233" s="25"/>
      <c r="D233" s="25"/>
      <c r="E233" s="25"/>
      <c r="F233" s="25"/>
      <c r="G233" s="25"/>
      <c r="H233" s="58"/>
      <c r="I233" s="1" t="str">
        <f t="shared" si="46"/>
        <v/>
      </c>
      <c r="M233" s="88">
        <f t="shared" si="44"/>
        <v>0</v>
      </c>
      <c r="N233" s="88">
        <f t="shared" si="44"/>
        <v>0</v>
      </c>
    </row>
    <row r="234" spans="1:14" hidden="1" x14ac:dyDescent="0.25">
      <c r="A234" s="19"/>
      <c r="B234" s="25"/>
      <c r="C234" s="25"/>
      <c r="D234" s="25"/>
      <c r="E234" s="25"/>
      <c r="F234" s="25"/>
      <c r="G234" s="25"/>
      <c r="H234" s="58"/>
      <c r="I234" s="1" t="str">
        <f t="shared" si="46"/>
        <v/>
      </c>
      <c r="M234" s="88">
        <f t="shared" si="44"/>
        <v>0</v>
      </c>
      <c r="N234" s="88">
        <f t="shared" si="44"/>
        <v>0</v>
      </c>
    </row>
    <row r="235" spans="1:14" hidden="1" x14ac:dyDescent="0.25">
      <c r="A235" s="19"/>
      <c r="B235" s="25"/>
      <c r="C235" s="25"/>
      <c r="D235" s="25"/>
      <c r="E235" s="25"/>
      <c r="F235" s="25"/>
      <c r="G235" s="25"/>
      <c r="H235" s="58"/>
      <c r="I235" s="1" t="str">
        <f t="shared" si="46"/>
        <v/>
      </c>
      <c r="M235" s="88">
        <f t="shared" si="44"/>
        <v>0</v>
      </c>
      <c r="N235" s="88">
        <f t="shared" si="44"/>
        <v>0</v>
      </c>
    </row>
    <row r="236" spans="1:14" hidden="1" x14ac:dyDescent="0.25">
      <c r="A236" s="19"/>
      <c r="B236" s="25"/>
      <c r="C236" s="25"/>
      <c r="D236" s="25"/>
      <c r="E236" s="25"/>
      <c r="F236" s="25"/>
      <c r="G236" s="25"/>
      <c r="H236" s="58"/>
      <c r="I236" s="1" t="str">
        <f t="shared" si="46"/>
        <v/>
      </c>
      <c r="M236" s="88">
        <f t="shared" si="44"/>
        <v>0</v>
      </c>
      <c r="N236" s="88">
        <f t="shared" si="44"/>
        <v>0</v>
      </c>
    </row>
    <row r="237" spans="1:14" hidden="1" x14ac:dyDescent="0.25">
      <c r="A237" s="19"/>
      <c r="B237" s="25"/>
      <c r="C237" s="25"/>
      <c r="D237" s="25"/>
      <c r="E237" s="25"/>
      <c r="F237" s="25"/>
      <c r="G237" s="25"/>
      <c r="H237" s="58"/>
      <c r="I237" s="1" t="str">
        <f t="shared" si="46"/>
        <v/>
      </c>
      <c r="M237" s="88">
        <f t="shared" si="44"/>
        <v>0</v>
      </c>
      <c r="N237" s="88">
        <f t="shared" si="44"/>
        <v>0</v>
      </c>
    </row>
    <row r="238" spans="1:14" hidden="1" x14ac:dyDescent="0.25">
      <c r="A238" s="19"/>
      <c r="B238" s="25"/>
      <c r="C238" s="25"/>
      <c r="D238" s="25"/>
      <c r="E238" s="25"/>
      <c r="F238" s="25"/>
      <c r="G238" s="25"/>
      <c r="H238" s="58"/>
      <c r="I238" s="1" t="str">
        <f t="shared" si="46"/>
        <v/>
      </c>
      <c r="M238" s="88">
        <f t="shared" si="44"/>
        <v>0</v>
      </c>
      <c r="N238" s="88">
        <f t="shared" si="44"/>
        <v>0</v>
      </c>
    </row>
    <row r="239" spans="1:14" hidden="1" x14ac:dyDescent="0.25">
      <c r="A239" s="19"/>
      <c r="B239" s="25"/>
      <c r="C239" s="25"/>
      <c r="D239" s="25"/>
      <c r="E239" s="25"/>
      <c r="F239" s="25"/>
      <c r="G239" s="25"/>
      <c r="H239" s="24"/>
      <c r="I239" s="1" t="str">
        <f t="shared" si="46"/>
        <v/>
      </c>
      <c r="M239" s="88">
        <f t="shared" si="44"/>
        <v>0</v>
      </c>
      <c r="N239" s="88">
        <f t="shared" si="44"/>
        <v>0</v>
      </c>
    </row>
    <row r="240" spans="1:14" x14ac:dyDescent="0.25">
      <c r="A240" s="19"/>
      <c r="B240" s="31"/>
      <c r="C240" s="31"/>
      <c r="D240" s="31"/>
      <c r="E240" s="31"/>
      <c r="F240" s="31"/>
      <c r="G240" s="31"/>
      <c r="H240" s="157"/>
      <c r="I240" s="1" t="str">
        <f>IF(I241="*","*","")</f>
        <v>*</v>
      </c>
      <c r="M240" s="88">
        <f t="shared" si="44"/>
        <v>0</v>
      </c>
      <c r="N240" s="88">
        <f t="shared" si="44"/>
        <v>0</v>
      </c>
    </row>
    <row r="241" spans="1:14" x14ac:dyDescent="0.25">
      <c r="A241" s="19"/>
      <c r="B241" s="31"/>
      <c r="C241" s="31"/>
      <c r="D241" s="31"/>
      <c r="E241" s="31"/>
      <c r="F241" s="158"/>
      <c r="G241" s="66" t="s">
        <v>42</v>
      </c>
      <c r="H241" s="159">
        <f>SUM(H222:H240)</f>
        <v>22952.815600000002</v>
      </c>
      <c r="I241" s="1" t="str">
        <f>IF(SUM(H241)&gt;0.49,"*","")</f>
        <v>*</v>
      </c>
      <c r="M241" s="88">
        <f t="shared" ref="M241:N273" si="48">IF($B241=M$14,$H241,0)</f>
        <v>0</v>
      </c>
      <c r="N241" s="88">
        <f t="shared" si="48"/>
        <v>0</v>
      </c>
    </row>
    <row r="242" spans="1:14" x14ac:dyDescent="0.25">
      <c r="A242" s="19"/>
      <c r="B242" s="31"/>
      <c r="C242" s="31"/>
      <c r="D242" s="31"/>
      <c r="E242" s="31"/>
      <c r="F242" s="64"/>
      <c r="G242" s="160"/>
      <c r="H242" s="21"/>
      <c r="I242" s="1" t="str">
        <f>IF(I241="*","*","")</f>
        <v>*</v>
      </c>
      <c r="M242" s="88">
        <f t="shared" si="48"/>
        <v>0</v>
      </c>
      <c r="N242" s="88">
        <f t="shared" si="48"/>
        <v>0</v>
      </c>
    </row>
    <row r="243" spans="1:14" hidden="1" x14ac:dyDescent="0.25">
      <c r="A243" s="19"/>
      <c r="B243" s="25">
        <v>100</v>
      </c>
      <c r="C243" s="25">
        <v>4000</v>
      </c>
      <c r="D243" s="25">
        <v>7900</v>
      </c>
      <c r="E243" s="25">
        <v>160</v>
      </c>
      <c r="F243" s="25"/>
      <c r="G243" s="25" t="s">
        <v>66</v>
      </c>
      <c r="H243" s="58">
        <f>+Payroll!E93</f>
        <v>0</v>
      </c>
      <c r="I243" s="1" t="str">
        <f t="shared" ref="I243:I258" si="49">IF(SUM(H243)&gt;0.49,"*","")</f>
        <v/>
      </c>
      <c r="M243" s="88">
        <f t="shared" si="48"/>
        <v>0</v>
      </c>
      <c r="N243" s="88">
        <f t="shared" si="48"/>
        <v>0</v>
      </c>
    </row>
    <row r="244" spans="1:14" hidden="1" x14ac:dyDescent="0.25">
      <c r="A244" s="19"/>
      <c r="B244" s="25">
        <v>100</v>
      </c>
      <c r="C244" s="25">
        <v>4000</v>
      </c>
      <c r="D244" s="25">
        <v>7900</v>
      </c>
      <c r="E244" s="25">
        <v>210</v>
      </c>
      <c r="F244" s="25"/>
      <c r="G244" s="25" t="s">
        <v>49</v>
      </c>
      <c r="H244" s="58">
        <f>+Payroll!F93</f>
        <v>0</v>
      </c>
      <c r="I244" s="1" t="str">
        <f t="shared" si="49"/>
        <v/>
      </c>
      <c r="M244" s="88">
        <f t="shared" si="48"/>
        <v>0</v>
      </c>
      <c r="N244" s="88">
        <f t="shared" si="48"/>
        <v>0</v>
      </c>
    </row>
    <row r="245" spans="1:14" hidden="1" x14ac:dyDescent="0.25">
      <c r="A245" s="19"/>
      <c r="B245" s="25">
        <v>100</v>
      </c>
      <c r="C245" s="25">
        <v>4000</v>
      </c>
      <c r="D245" s="25">
        <v>7900</v>
      </c>
      <c r="E245" s="25">
        <v>220</v>
      </c>
      <c r="F245" s="25"/>
      <c r="G245" s="25" t="s">
        <v>50</v>
      </c>
      <c r="H245" s="58">
        <f>+Payroll!H93</f>
        <v>0</v>
      </c>
      <c r="I245" s="1" t="str">
        <f t="shared" si="49"/>
        <v/>
      </c>
      <c r="M245" s="88">
        <f t="shared" si="48"/>
        <v>0</v>
      </c>
      <c r="N245" s="88">
        <f t="shared" si="48"/>
        <v>0</v>
      </c>
    </row>
    <row r="246" spans="1:14" hidden="1" x14ac:dyDescent="0.25">
      <c r="A246" s="19"/>
      <c r="B246" s="25">
        <v>100</v>
      </c>
      <c r="C246" s="25">
        <v>4000</v>
      </c>
      <c r="D246" s="25">
        <v>7900</v>
      </c>
      <c r="E246" s="25">
        <v>230</v>
      </c>
      <c r="F246" s="25"/>
      <c r="G246" s="25" t="s">
        <v>51</v>
      </c>
      <c r="H246" s="58">
        <f>+Payroll!I93</f>
        <v>0</v>
      </c>
      <c r="I246" s="1" t="str">
        <f t="shared" si="49"/>
        <v/>
      </c>
      <c r="M246" s="88">
        <f t="shared" si="48"/>
        <v>0</v>
      </c>
      <c r="N246" s="88">
        <f t="shared" si="48"/>
        <v>0</v>
      </c>
    </row>
    <row r="247" spans="1:14" hidden="1" x14ac:dyDescent="0.25">
      <c r="A247" s="19"/>
      <c r="B247" s="25">
        <v>100</v>
      </c>
      <c r="C247" s="25">
        <v>4000</v>
      </c>
      <c r="D247" s="25">
        <v>7900</v>
      </c>
      <c r="E247" s="25">
        <v>240</v>
      </c>
      <c r="F247" s="25"/>
      <c r="G247" s="25" t="s">
        <v>52</v>
      </c>
      <c r="H247" s="58">
        <f>+Payroll!K93</f>
        <v>0</v>
      </c>
      <c r="I247" s="1" t="str">
        <f t="shared" si="49"/>
        <v/>
      </c>
      <c r="M247" s="88">
        <f t="shared" si="48"/>
        <v>0</v>
      </c>
      <c r="N247" s="88">
        <f t="shared" si="48"/>
        <v>0</v>
      </c>
    </row>
    <row r="248" spans="1:14" hidden="1" x14ac:dyDescent="0.25">
      <c r="A248" s="19"/>
      <c r="B248" s="25">
        <v>100</v>
      </c>
      <c r="C248" s="25">
        <v>4000</v>
      </c>
      <c r="D248" s="25">
        <v>7900</v>
      </c>
      <c r="E248" s="25">
        <v>250</v>
      </c>
      <c r="F248" s="25"/>
      <c r="G248" s="25" t="s">
        <v>53</v>
      </c>
      <c r="H248" s="58">
        <f>+Payroll!L93</f>
        <v>0</v>
      </c>
      <c r="I248" s="1" t="str">
        <f t="shared" si="49"/>
        <v/>
      </c>
      <c r="M248" s="88">
        <f t="shared" si="48"/>
        <v>0</v>
      </c>
      <c r="N248" s="88">
        <f t="shared" si="48"/>
        <v>0</v>
      </c>
    </row>
    <row r="249" spans="1:14" x14ac:dyDescent="0.25">
      <c r="A249" s="19"/>
      <c r="B249" s="31">
        <f>'Expense Input'!B39</f>
        <v>100</v>
      </c>
      <c r="C249" s="31">
        <f>'Expense Input'!C39</f>
        <v>4000</v>
      </c>
      <c r="D249" s="31">
        <f>'Expense Input'!D39</f>
        <v>7900</v>
      </c>
      <c r="E249" s="31" t="str">
        <f>'Expense Input'!E39</f>
        <v>310</v>
      </c>
      <c r="F249" s="31"/>
      <c r="G249" s="31" t="str">
        <f>'Expense Input'!F39</f>
        <v>Contracted Security Services</v>
      </c>
      <c r="H249" s="58">
        <f>+'Expense Input'!M39</f>
        <v>20000</v>
      </c>
      <c r="I249" s="1" t="str">
        <f t="shared" ref="I249" si="50">IF(SUM(H249)&gt;0.49,"*","")</f>
        <v>*</v>
      </c>
      <c r="K249" s="8">
        <f>SUM(H249:H255)</f>
        <v>41283.548200000005</v>
      </c>
      <c r="M249" s="88">
        <f t="shared" si="48"/>
        <v>20000</v>
      </c>
      <c r="N249" s="88">
        <f t="shared" si="48"/>
        <v>0</v>
      </c>
    </row>
    <row r="250" spans="1:14" x14ac:dyDescent="0.25">
      <c r="A250" s="19"/>
      <c r="B250" s="31">
        <f>'Expense Input'!B40</f>
        <v>100</v>
      </c>
      <c r="C250" s="31">
        <f>'Expense Input'!C40</f>
        <v>4000</v>
      </c>
      <c r="D250" s="31">
        <f>'Expense Input'!D40</f>
        <v>7900</v>
      </c>
      <c r="E250" s="31">
        <f>'Expense Input'!E40</f>
        <v>320</v>
      </c>
      <c r="F250" s="31"/>
      <c r="G250" s="31" t="str">
        <f>'Expense Input'!F40</f>
        <v>Insurance - Building</v>
      </c>
      <c r="H250" s="58">
        <f>+'Expense Input'!M40</f>
        <v>1494.8</v>
      </c>
      <c r="I250" s="1" t="str">
        <f t="shared" si="49"/>
        <v>*</v>
      </c>
      <c r="K250" s="8">
        <f>SUM(H250:H256)</f>
        <v>26605.581600000001</v>
      </c>
      <c r="M250" s="88">
        <f t="shared" si="48"/>
        <v>1494.8</v>
      </c>
      <c r="N250" s="88">
        <f t="shared" si="48"/>
        <v>0</v>
      </c>
    </row>
    <row r="251" spans="1:14" x14ac:dyDescent="0.25">
      <c r="A251" s="19"/>
      <c r="B251" s="25">
        <f>'Expense Input'!B41</f>
        <v>100</v>
      </c>
      <c r="C251" s="25">
        <f>'Expense Input'!C41</f>
        <v>4000</v>
      </c>
      <c r="D251" s="25">
        <f>'Expense Input'!D41</f>
        <v>7900</v>
      </c>
      <c r="E251" s="25">
        <f>'Expense Input'!E41</f>
        <v>360</v>
      </c>
      <c r="F251" s="25"/>
      <c r="G251" s="25" t="str">
        <f>'Expense Input'!F41</f>
        <v>Storage Rental</v>
      </c>
      <c r="H251" s="24">
        <f>+'Expense Input'!M41</f>
        <v>1540.25</v>
      </c>
      <c r="I251" s="1" t="str">
        <f t="shared" si="49"/>
        <v>*</v>
      </c>
      <c r="K251" s="8">
        <f>SUM('Expense Input'!M40:M46)</f>
        <v>26605.581600000001</v>
      </c>
      <c r="M251" s="88">
        <f t="shared" si="48"/>
        <v>1540.25</v>
      </c>
      <c r="N251" s="88">
        <f t="shared" si="48"/>
        <v>0</v>
      </c>
    </row>
    <row r="252" spans="1:14" x14ac:dyDescent="0.25">
      <c r="A252" s="19"/>
      <c r="B252" s="25">
        <f>'Expense Input'!B42</f>
        <v>100</v>
      </c>
      <c r="C252" s="25">
        <f>'Expense Input'!C42</f>
        <v>4000</v>
      </c>
      <c r="D252" s="25">
        <f>'Expense Input'!D42</f>
        <v>7900</v>
      </c>
      <c r="E252" s="25">
        <f>'Expense Input'!E42</f>
        <v>370</v>
      </c>
      <c r="F252" s="25"/>
      <c r="G252" s="25" t="str">
        <f>'Expense Input'!F42</f>
        <v>Communications</v>
      </c>
      <c r="H252" s="24">
        <f>+'Expense Input'!M42</f>
        <v>3997.6708999999992</v>
      </c>
      <c r="I252" s="1" t="str">
        <f t="shared" si="49"/>
        <v>*</v>
      </c>
      <c r="M252" s="88">
        <f t="shared" si="48"/>
        <v>3997.6708999999992</v>
      </c>
      <c r="N252" s="88">
        <f t="shared" si="48"/>
        <v>0</v>
      </c>
    </row>
    <row r="253" spans="1:14" x14ac:dyDescent="0.25">
      <c r="A253" s="19"/>
      <c r="B253" s="25">
        <f>'Expense Input'!B43</f>
        <v>100</v>
      </c>
      <c r="C253" s="25">
        <f>'Expense Input'!C43</f>
        <v>4000</v>
      </c>
      <c r="D253" s="25">
        <f>'Expense Input'!D43</f>
        <v>7900</v>
      </c>
      <c r="E253" s="25">
        <f>'Expense Input'!E43</f>
        <v>380</v>
      </c>
      <c r="F253" s="25"/>
      <c r="G253" s="25" t="str">
        <f>'Expense Input'!F43</f>
        <v>Water/ Sewer/ Garbage Collection</v>
      </c>
      <c r="H253" s="24">
        <f>+'Expense Input'!M43</f>
        <v>1907.0618000000002</v>
      </c>
      <c r="I253" s="1" t="str">
        <f t="shared" si="49"/>
        <v>*</v>
      </c>
      <c r="M253" s="88">
        <f t="shared" si="48"/>
        <v>1907.0618000000002</v>
      </c>
      <c r="N253" s="88">
        <f t="shared" si="48"/>
        <v>0</v>
      </c>
    </row>
    <row r="254" spans="1:14" x14ac:dyDescent="0.25">
      <c r="A254" s="19"/>
      <c r="B254" s="25">
        <f>'Expense Input'!B44</f>
        <v>100</v>
      </c>
      <c r="C254" s="25">
        <f>'Expense Input'!C44</f>
        <v>4000</v>
      </c>
      <c r="D254" s="25">
        <f>'Expense Input'!D44</f>
        <v>7900</v>
      </c>
      <c r="E254" s="25">
        <f>'Expense Input'!E44</f>
        <v>390</v>
      </c>
      <c r="F254" s="25"/>
      <c r="G254" s="25" t="str">
        <f>'Expense Input'!F44</f>
        <v>Other Contracted Bldg. Services</v>
      </c>
      <c r="H254" s="24">
        <f>+'Expense Input'!M44</f>
        <v>5415.7209999999995</v>
      </c>
      <c r="I254" s="1" t="str">
        <f t="shared" si="49"/>
        <v>*</v>
      </c>
      <c r="M254" s="88">
        <f t="shared" si="48"/>
        <v>5415.7209999999995</v>
      </c>
      <c r="N254" s="88">
        <f t="shared" si="48"/>
        <v>0</v>
      </c>
    </row>
    <row r="255" spans="1:14" x14ac:dyDescent="0.25">
      <c r="A255" s="19"/>
      <c r="B255" s="25">
        <f>'Expense Input'!B45</f>
        <v>100</v>
      </c>
      <c r="C255" s="25">
        <f>'Expense Input'!C45</f>
        <v>4000</v>
      </c>
      <c r="D255" s="25">
        <f>'Expense Input'!D45</f>
        <v>7900</v>
      </c>
      <c r="E255" s="25">
        <f>'Expense Input'!E45</f>
        <v>430</v>
      </c>
      <c r="F255" s="25"/>
      <c r="G255" s="25" t="str">
        <f>'Expense Input'!F45</f>
        <v>Electricity</v>
      </c>
      <c r="H255" s="24">
        <f>+'Expense Input'!M45</f>
        <v>6928.0445000000009</v>
      </c>
      <c r="I255" s="1" t="str">
        <f t="shared" si="49"/>
        <v>*</v>
      </c>
      <c r="M255" s="88">
        <f t="shared" si="48"/>
        <v>6928.0445000000009</v>
      </c>
      <c r="N255" s="88">
        <f t="shared" si="48"/>
        <v>0</v>
      </c>
    </row>
    <row r="256" spans="1:14" x14ac:dyDescent="0.25">
      <c r="A256" s="19"/>
      <c r="B256" s="25">
        <f>'Expense Input'!B46</f>
        <v>100</v>
      </c>
      <c r="C256" s="25">
        <f>'Expense Input'!C46</f>
        <v>4000</v>
      </c>
      <c r="D256" s="25">
        <f>'Expense Input'!D46</f>
        <v>7900</v>
      </c>
      <c r="E256" s="25">
        <f>'Expense Input'!E46</f>
        <v>510</v>
      </c>
      <c r="F256" s="25"/>
      <c r="G256" s="25" t="str">
        <f>'Expense Input'!F46</f>
        <v>Custodial Supplies</v>
      </c>
      <c r="H256" s="24">
        <f>+'Expense Input'!M46</f>
        <v>5322.0334000000003</v>
      </c>
      <c r="I256" s="1" t="str">
        <f t="shared" si="49"/>
        <v>*</v>
      </c>
      <c r="M256" s="88">
        <f t="shared" si="48"/>
        <v>5322.0334000000003</v>
      </c>
      <c r="N256" s="88">
        <f t="shared" si="48"/>
        <v>0</v>
      </c>
    </row>
    <row r="257" spans="1:14" hidden="1" x14ac:dyDescent="0.25">
      <c r="A257" s="19"/>
      <c r="B257" s="25"/>
      <c r="C257" s="25"/>
      <c r="D257" s="25"/>
      <c r="E257" s="25"/>
      <c r="F257" s="25"/>
      <c r="G257" s="25"/>
      <c r="H257" s="24"/>
      <c r="I257" s="1" t="str">
        <f t="shared" si="49"/>
        <v/>
      </c>
      <c r="M257" s="88">
        <f t="shared" si="48"/>
        <v>0</v>
      </c>
      <c r="N257" s="88">
        <f t="shared" si="48"/>
        <v>0</v>
      </c>
    </row>
    <row r="258" spans="1:14" hidden="1" x14ac:dyDescent="0.25">
      <c r="A258" s="19"/>
      <c r="B258" s="25"/>
      <c r="C258" s="25"/>
      <c r="D258" s="25"/>
      <c r="E258" s="25"/>
      <c r="F258" s="25"/>
      <c r="G258" s="25"/>
      <c r="H258" s="24"/>
      <c r="I258" s="1" t="str">
        <f t="shared" si="49"/>
        <v/>
      </c>
      <c r="M258" s="88">
        <f t="shared" si="48"/>
        <v>0</v>
      </c>
      <c r="N258" s="88">
        <f t="shared" si="48"/>
        <v>0</v>
      </c>
    </row>
    <row r="259" spans="1:14" x14ac:dyDescent="0.25">
      <c r="A259" s="19"/>
      <c r="B259" s="25"/>
      <c r="C259" s="25"/>
      <c r="D259" s="25"/>
      <c r="E259" s="25"/>
      <c r="F259" s="25"/>
      <c r="G259" s="25"/>
      <c r="H259" s="26"/>
      <c r="I259" s="1" t="str">
        <f>IF(I260="*","*","")</f>
        <v>*</v>
      </c>
      <c r="M259" s="88">
        <f t="shared" si="48"/>
        <v>0</v>
      </c>
      <c r="N259" s="88">
        <f t="shared" si="48"/>
        <v>0</v>
      </c>
    </row>
    <row r="260" spans="1:14" x14ac:dyDescent="0.25">
      <c r="A260" s="19"/>
      <c r="B260" s="25"/>
      <c r="C260" s="25"/>
      <c r="D260" s="25"/>
      <c r="E260" s="25"/>
      <c r="G260" s="16" t="s">
        <v>43</v>
      </c>
      <c r="H260" s="23">
        <f>SUM(H243:H259)</f>
        <v>46605.581600000005</v>
      </c>
      <c r="I260" s="1" t="str">
        <f>IF(SUM(H260)&gt;0.49,"*","")</f>
        <v>*</v>
      </c>
      <c r="M260" s="88">
        <f t="shared" si="48"/>
        <v>0</v>
      </c>
      <c r="N260" s="88">
        <f t="shared" si="48"/>
        <v>0</v>
      </c>
    </row>
    <row r="261" spans="1:14" x14ac:dyDescent="0.25">
      <c r="A261" s="19"/>
      <c r="B261" s="25"/>
      <c r="C261" s="25"/>
      <c r="D261" s="25"/>
      <c r="E261" s="25"/>
      <c r="G261" s="16"/>
      <c r="H261" s="24"/>
      <c r="I261" s="1" t="str">
        <f>IF(I260="*","*","")</f>
        <v>*</v>
      </c>
      <c r="M261" s="88">
        <f t="shared" si="48"/>
        <v>0</v>
      </c>
      <c r="N261" s="88">
        <f t="shared" si="48"/>
        <v>0</v>
      </c>
    </row>
    <row r="262" spans="1:14" x14ac:dyDescent="0.25">
      <c r="A262" s="19"/>
      <c r="B262" s="25">
        <f>'Expense Input'!B47</f>
        <v>100</v>
      </c>
      <c r="C262" s="25">
        <f>'Expense Input'!C47</f>
        <v>4000</v>
      </c>
      <c r="D262" s="25">
        <f>'Expense Input'!D47</f>
        <v>8100</v>
      </c>
      <c r="E262" s="25">
        <f>'Expense Input'!E47</f>
        <v>350</v>
      </c>
      <c r="F262" s="25"/>
      <c r="G262" s="25" t="str">
        <f>'Expense Input'!F47</f>
        <v>Repairs and Maintenance</v>
      </c>
      <c r="H262" s="24">
        <f>+'Expense Input'!M47</f>
        <v>1360.4340000000002</v>
      </c>
      <c r="I262" s="1" t="str">
        <f>IF(SUM(H262)&gt;0.49,"*","")</f>
        <v>*</v>
      </c>
      <c r="K262" s="8">
        <f>SUM(H262:H263)</f>
        <v>2830.6259999999993</v>
      </c>
      <c r="M262" s="88">
        <f t="shared" si="48"/>
        <v>1360.4340000000002</v>
      </c>
      <c r="N262" s="88">
        <f t="shared" si="48"/>
        <v>0</v>
      </c>
    </row>
    <row r="263" spans="1:14" x14ac:dyDescent="0.25">
      <c r="A263" s="19"/>
      <c r="B263" s="25">
        <f>'Expense Input'!B48</f>
        <v>360</v>
      </c>
      <c r="C263" s="25">
        <f>'Expense Input'!C48</f>
        <v>4000</v>
      </c>
      <c r="D263" s="25">
        <f>'Expense Input'!D48</f>
        <v>8100</v>
      </c>
      <c r="E263" s="25">
        <f>'Expense Input'!E48</f>
        <v>350</v>
      </c>
      <c r="F263" s="25"/>
      <c r="G263" s="25" t="str">
        <f>'Expense Input'!F48</f>
        <v>Repairs and Maintenance</v>
      </c>
      <c r="H263" s="24">
        <f>+'Expense Input'!M48</f>
        <v>1470.1919999999991</v>
      </c>
      <c r="I263" s="1" t="str">
        <f>IF(SUM(H263)&gt;0.49,"*","")</f>
        <v>*</v>
      </c>
      <c r="K263" s="8">
        <f>SUM('Expense Input'!M47:M48)</f>
        <v>2830.6259999999993</v>
      </c>
      <c r="M263" s="88">
        <f t="shared" si="48"/>
        <v>0</v>
      </c>
      <c r="N263" s="88">
        <f t="shared" si="48"/>
        <v>1470.1919999999991</v>
      </c>
    </row>
    <row r="264" spans="1:14" x14ac:dyDescent="0.25">
      <c r="A264" s="19"/>
      <c r="B264" s="25"/>
      <c r="C264" s="25"/>
      <c r="D264" s="25"/>
      <c r="E264" s="25"/>
      <c r="F264" s="25"/>
      <c r="G264" s="25"/>
      <c r="I264" s="1" t="str">
        <f>IF(I265="*","*","")</f>
        <v>*</v>
      </c>
      <c r="M264" s="88">
        <f t="shared" si="48"/>
        <v>0</v>
      </c>
      <c r="N264" s="88">
        <f t="shared" si="48"/>
        <v>0</v>
      </c>
    </row>
    <row r="265" spans="1:14" x14ac:dyDescent="0.25">
      <c r="A265" s="19"/>
      <c r="B265" s="25"/>
      <c r="C265" s="25"/>
      <c r="D265" s="25"/>
      <c r="E265" s="25"/>
      <c r="G265" s="16" t="s">
        <v>44</v>
      </c>
      <c r="H265" s="23">
        <f>SUM(H262:H264)</f>
        <v>2830.6259999999993</v>
      </c>
      <c r="I265" s="1" t="str">
        <f>IF(SUM(H265)&gt;0.49,"*","")</f>
        <v>*</v>
      </c>
      <c r="M265" s="88">
        <f t="shared" si="48"/>
        <v>0</v>
      </c>
      <c r="N265" s="88">
        <f t="shared" si="48"/>
        <v>0</v>
      </c>
    </row>
    <row r="266" spans="1:14" x14ac:dyDescent="0.25">
      <c r="A266" s="19"/>
      <c r="B266" s="25"/>
      <c r="C266" s="25"/>
      <c r="D266" s="25"/>
      <c r="E266" s="25"/>
      <c r="F266" s="25"/>
      <c r="G266" s="25"/>
      <c r="H266" s="26"/>
      <c r="I266" s="1" t="str">
        <f>IF(I265="*","*","")</f>
        <v>*</v>
      </c>
      <c r="M266" s="88">
        <f t="shared" si="48"/>
        <v>0</v>
      </c>
      <c r="N266" s="88">
        <f t="shared" si="48"/>
        <v>0</v>
      </c>
    </row>
    <row r="267" spans="1:14" hidden="1" x14ac:dyDescent="0.25">
      <c r="A267" s="19"/>
      <c r="B267" s="25">
        <v>891</v>
      </c>
      <c r="C267" s="25">
        <v>4000</v>
      </c>
      <c r="D267" s="25">
        <v>9100</v>
      </c>
      <c r="E267" s="25">
        <v>150</v>
      </c>
      <c r="F267" s="25"/>
      <c r="G267" s="25" t="s">
        <v>69</v>
      </c>
      <c r="H267" s="58">
        <f>+Payroll!E109</f>
        <v>0</v>
      </c>
      <c r="I267" s="1" t="str">
        <f t="shared" ref="I267:I275" si="51">IF(SUM(H267)&gt;0.49,"*","")</f>
        <v/>
      </c>
      <c r="M267" s="88">
        <f t="shared" si="48"/>
        <v>0</v>
      </c>
      <c r="N267" s="88">
        <f t="shared" si="48"/>
        <v>0</v>
      </c>
    </row>
    <row r="268" spans="1:14" hidden="1" x14ac:dyDescent="0.25">
      <c r="A268" s="19"/>
      <c r="B268" s="25">
        <v>891</v>
      </c>
      <c r="C268" s="25">
        <v>4000</v>
      </c>
      <c r="D268" s="25">
        <v>9100</v>
      </c>
      <c r="E268" s="25">
        <v>210</v>
      </c>
      <c r="F268" s="25"/>
      <c r="G268" s="25" t="s">
        <v>49</v>
      </c>
      <c r="H268" s="58">
        <f>+Payroll!F109</f>
        <v>0</v>
      </c>
      <c r="I268" s="1" t="str">
        <f t="shared" si="51"/>
        <v/>
      </c>
      <c r="M268" s="88">
        <f t="shared" si="48"/>
        <v>0</v>
      </c>
      <c r="N268" s="88">
        <f t="shared" si="48"/>
        <v>0</v>
      </c>
    </row>
    <row r="269" spans="1:14" hidden="1" x14ac:dyDescent="0.25">
      <c r="A269" s="19"/>
      <c r="B269" s="25">
        <v>891</v>
      </c>
      <c r="C269" s="25">
        <v>4000</v>
      </c>
      <c r="D269" s="25">
        <v>9100</v>
      </c>
      <c r="E269" s="25">
        <v>220</v>
      </c>
      <c r="F269" s="25"/>
      <c r="G269" s="25" t="s">
        <v>50</v>
      </c>
      <c r="H269" s="58">
        <f>+Payroll!H109</f>
        <v>0</v>
      </c>
      <c r="I269" s="1" t="str">
        <f t="shared" si="51"/>
        <v/>
      </c>
      <c r="M269" s="88">
        <f t="shared" si="48"/>
        <v>0</v>
      </c>
      <c r="N269" s="88">
        <f t="shared" si="48"/>
        <v>0</v>
      </c>
    </row>
    <row r="270" spans="1:14" hidden="1" x14ac:dyDescent="0.25">
      <c r="A270" s="19"/>
      <c r="B270" s="25">
        <v>891</v>
      </c>
      <c r="C270" s="25">
        <v>4000</v>
      </c>
      <c r="D270" s="25">
        <v>9100</v>
      </c>
      <c r="E270" s="25">
        <v>230</v>
      </c>
      <c r="F270" s="25"/>
      <c r="G270" s="25" t="s">
        <v>51</v>
      </c>
      <c r="H270" s="58">
        <f>+Payroll!I109</f>
        <v>0</v>
      </c>
      <c r="I270" s="1" t="str">
        <f t="shared" si="51"/>
        <v/>
      </c>
      <c r="M270" s="88">
        <f t="shared" si="48"/>
        <v>0</v>
      </c>
      <c r="N270" s="88">
        <f t="shared" si="48"/>
        <v>0</v>
      </c>
    </row>
    <row r="271" spans="1:14" hidden="1" x14ac:dyDescent="0.25">
      <c r="A271" s="19"/>
      <c r="B271" s="25">
        <v>891</v>
      </c>
      <c r="C271" s="25">
        <v>4000</v>
      </c>
      <c r="D271" s="25">
        <v>9100</v>
      </c>
      <c r="E271" s="25">
        <v>240</v>
      </c>
      <c r="F271" s="25"/>
      <c r="G271" s="25" t="s">
        <v>52</v>
      </c>
      <c r="H271" s="58">
        <f>+Payroll!K109</f>
        <v>0</v>
      </c>
      <c r="I271" s="1" t="str">
        <f t="shared" si="51"/>
        <v/>
      </c>
      <c r="M271" s="88">
        <f t="shared" si="48"/>
        <v>0</v>
      </c>
      <c r="N271" s="88">
        <f t="shared" si="48"/>
        <v>0</v>
      </c>
    </row>
    <row r="272" spans="1:14" ht="12" hidden="1" customHeight="1" x14ac:dyDescent="0.25">
      <c r="A272" s="19"/>
      <c r="B272" s="25">
        <v>891</v>
      </c>
      <c r="C272" s="25">
        <v>4000</v>
      </c>
      <c r="D272" s="25">
        <v>9100</v>
      </c>
      <c r="E272" s="25">
        <v>250</v>
      </c>
      <c r="F272" s="25"/>
      <c r="G272" s="25" t="s">
        <v>53</v>
      </c>
      <c r="H272" s="58">
        <f>+Payroll!L109</f>
        <v>0</v>
      </c>
      <c r="I272" s="1" t="str">
        <f t="shared" si="51"/>
        <v/>
      </c>
      <c r="M272" s="88">
        <f t="shared" si="48"/>
        <v>0</v>
      </c>
      <c r="N272" s="88">
        <f t="shared" si="48"/>
        <v>0</v>
      </c>
    </row>
    <row r="273" spans="1:14" hidden="1" x14ac:dyDescent="0.25">
      <c r="A273" s="19"/>
      <c r="B273" s="25"/>
      <c r="C273" s="25"/>
      <c r="D273" s="25"/>
      <c r="E273" s="25"/>
      <c r="F273" s="25"/>
      <c r="G273" s="25"/>
      <c r="H273" s="24"/>
      <c r="I273" s="1" t="str">
        <f t="shared" si="51"/>
        <v/>
      </c>
      <c r="M273" s="88">
        <f t="shared" si="48"/>
        <v>0</v>
      </c>
      <c r="N273" s="88">
        <f t="shared" si="48"/>
        <v>0</v>
      </c>
    </row>
    <row r="274" spans="1:14" x14ac:dyDescent="0.25">
      <c r="A274" s="19"/>
      <c r="B274" s="25">
        <f>'Expense Input'!B49</f>
        <v>100</v>
      </c>
      <c r="C274" s="25">
        <f>'Expense Input'!C49</f>
        <v>4000</v>
      </c>
      <c r="D274" s="25">
        <f>'Expense Input'!D49</f>
        <v>9100</v>
      </c>
      <c r="E274" s="25">
        <f>'Expense Input'!E49</f>
        <v>705</v>
      </c>
      <c r="F274" s="31"/>
      <c r="G274" s="31" t="str">
        <f>'Expense Input'!F49</f>
        <v>Donations</v>
      </c>
      <c r="H274" s="58">
        <f>+'Expense Input'!M49</f>
        <v>1696.8404</v>
      </c>
      <c r="I274" s="1" t="str">
        <f t="shared" ref="I274" si="52">IF(SUM(H274)&gt;0.49,"*","")</f>
        <v>*</v>
      </c>
      <c r="K274" s="8">
        <f>H274</f>
        <v>1696.8404</v>
      </c>
      <c r="M274" s="88">
        <f t="shared" ref="M274:N290" si="53">IF($B274=M$14,$H274,0)</f>
        <v>1696.8404</v>
      </c>
      <c r="N274" s="88">
        <f t="shared" si="53"/>
        <v>0</v>
      </c>
    </row>
    <row r="275" spans="1:14" hidden="1" x14ac:dyDescent="0.25">
      <c r="A275" s="19"/>
      <c r="B275" s="25"/>
      <c r="C275" s="25"/>
      <c r="D275" s="25"/>
      <c r="E275" s="25"/>
      <c r="F275" s="31"/>
      <c r="G275" s="31"/>
      <c r="H275" s="58"/>
      <c r="I275" s="1" t="str">
        <f t="shared" si="51"/>
        <v/>
      </c>
      <c r="K275" s="8">
        <f>'Expense Input'!M49</f>
        <v>1696.8404</v>
      </c>
      <c r="M275" s="88">
        <f t="shared" si="53"/>
        <v>0</v>
      </c>
      <c r="N275" s="88">
        <f t="shared" si="53"/>
        <v>0</v>
      </c>
    </row>
    <row r="276" spans="1:14" x14ac:dyDescent="0.25">
      <c r="A276" s="19"/>
      <c r="B276" s="25"/>
      <c r="C276" s="25"/>
      <c r="D276" s="25"/>
      <c r="E276" s="25"/>
      <c r="F276" s="25"/>
      <c r="G276" s="25"/>
      <c r="H276" s="26"/>
      <c r="I276" s="1" t="str">
        <f>IF(I277="*","*","")</f>
        <v>*</v>
      </c>
      <c r="M276" s="88">
        <f t="shared" si="53"/>
        <v>0</v>
      </c>
      <c r="N276" s="88">
        <f t="shared" si="53"/>
        <v>0</v>
      </c>
    </row>
    <row r="277" spans="1:14" x14ac:dyDescent="0.25">
      <c r="A277" s="19"/>
      <c r="B277" s="25"/>
      <c r="C277" s="25"/>
      <c r="D277" s="25"/>
      <c r="E277" s="25"/>
      <c r="F277" s="25"/>
      <c r="G277" s="16" t="s">
        <v>68</v>
      </c>
      <c r="H277" s="23">
        <f>SUM(H267:H276)</f>
        <v>1696.8404</v>
      </c>
      <c r="I277" s="1" t="str">
        <f>IF(SUM(H277)&gt;0.49,"*","")</f>
        <v>*</v>
      </c>
      <c r="M277" s="88">
        <f t="shared" si="53"/>
        <v>0</v>
      </c>
      <c r="N277" s="88">
        <f t="shared" si="53"/>
        <v>0</v>
      </c>
    </row>
    <row r="278" spans="1:14" x14ac:dyDescent="0.25">
      <c r="A278" s="19"/>
      <c r="B278" s="25"/>
      <c r="C278" s="25"/>
      <c r="D278" s="25"/>
      <c r="E278" s="25"/>
      <c r="F278" s="25"/>
      <c r="G278" s="25"/>
      <c r="H278" s="26"/>
      <c r="I278" s="1" t="str">
        <f>IF(I277="*","*","")</f>
        <v>*</v>
      </c>
      <c r="M278" s="88">
        <f t="shared" si="53"/>
        <v>0</v>
      </c>
      <c r="N278" s="88">
        <f t="shared" si="53"/>
        <v>0</v>
      </c>
    </row>
    <row r="279" spans="1:14" hidden="1" x14ac:dyDescent="0.25">
      <c r="A279" s="19"/>
      <c r="B279" s="83"/>
      <c r="C279" s="83"/>
      <c r="D279" s="83"/>
      <c r="E279" s="83"/>
      <c r="F279" s="31"/>
      <c r="G279" s="31"/>
      <c r="H279" s="58"/>
      <c r="I279" s="1" t="str">
        <f>IF(SUM(H279)&gt;0.49,"*","")</f>
        <v/>
      </c>
      <c r="M279" s="88">
        <f t="shared" si="53"/>
        <v>0</v>
      </c>
      <c r="N279" s="88">
        <f t="shared" si="53"/>
        <v>0</v>
      </c>
    </row>
    <row r="280" spans="1:14" hidden="1" x14ac:dyDescent="0.25">
      <c r="A280" s="19"/>
      <c r="B280" s="83"/>
      <c r="C280" s="83"/>
      <c r="D280" s="83"/>
      <c r="E280" s="83"/>
      <c r="F280" s="31"/>
      <c r="G280" s="31"/>
      <c r="H280" s="58"/>
      <c r="I280" s="1" t="str">
        <f>IF(SUM(H280)&gt;0.49,"*","")</f>
        <v/>
      </c>
      <c r="M280" s="88">
        <f t="shared" si="53"/>
        <v>0</v>
      </c>
      <c r="N280" s="88">
        <f t="shared" si="53"/>
        <v>0</v>
      </c>
    </row>
    <row r="281" spans="1:14" hidden="1" x14ac:dyDescent="0.25">
      <c r="A281" s="19"/>
      <c r="B281" s="1"/>
      <c r="C281" s="1"/>
      <c r="D281" s="1"/>
      <c r="E281" s="1"/>
      <c r="F281" s="1"/>
      <c r="H281" s="1"/>
      <c r="I281" s="1" t="str">
        <f>IF(SUM(H281)&gt;0.49,"*","")</f>
        <v/>
      </c>
      <c r="M281" s="88">
        <f t="shared" si="53"/>
        <v>0</v>
      </c>
      <c r="N281" s="88">
        <f t="shared" si="53"/>
        <v>0</v>
      </c>
    </row>
    <row r="282" spans="1:14" hidden="1" x14ac:dyDescent="0.25">
      <c r="A282" s="19"/>
      <c r="B282" s="25"/>
      <c r="C282" s="25"/>
      <c r="D282" s="25"/>
      <c r="E282" s="25"/>
      <c r="F282" s="25"/>
      <c r="G282" s="25"/>
      <c r="H282" s="26"/>
      <c r="I282" s="1" t="str">
        <f>IF(I283="*","*","")</f>
        <v/>
      </c>
      <c r="M282" s="88">
        <f t="shared" si="53"/>
        <v>0</v>
      </c>
      <c r="N282" s="88">
        <f t="shared" si="53"/>
        <v>0</v>
      </c>
    </row>
    <row r="283" spans="1:14" hidden="1" x14ac:dyDescent="0.25">
      <c r="A283" s="19"/>
      <c r="B283" s="25"/>
      <c r="C283" s="25"/>
      <c r="D283" s="25"/>
      <c r="E283" s="25"/>
      <c r="F283" s="25"/>
      <c r="G283" s="16" t="s">
        <v>70</v>
      </c>
      <c r="H283" s="23">
        <f>SUM(H279:H282)</f>
        <v>0</v>
      </c>
      <c r="I283" s="1" t="str">
        <f>IF(SUM(H283)&gt;0.49,"*","")</f>
        <v/>
      </c>
      <c r="M283" s="88">
        <f t="shared" si="53"/>
        <v>0</v>
      </c>
      <c r="N283" s="88">
        <f t="shared" si="53"/>
        <v>0</v>
      </c>
    </row>
    <row r="284" spans="1:14" hidden="1" x14ac:dyDescent="0.25">
      <c r="A284" s="19"/>
      <c r="B284" s="25"/>
      <c r="C284" s="25"/>
      <c r="D284" s="25"/>
      <c r="E284" s="25"/>
      <c r="F284" s="25"/>
      <c r="G284" s="25"/>
      <c r="H284" s="26"/>
      <c r="I284" s="1" t="str">
        <f>IF(I283="*","*","")</f>
        <v/>
      </c>
      <c r="M284" s="88">
        <f t="shared" si="53"/>
        <v>0</v>
      </c>
      <c r="N284" s="88">
        <f t="shared" si="53"/>
        <v>0</v>
      </c>
    </row>
    <row r="285" spans="1:14" hidden="1" x14ac:dyDescent="0.25">
      <c r="A285" s="19"/>
      <c r="B285" s="83"/>
      <c r="C285" s="83"/>
      <c r="D285" s="83"/>
      <c r="E285" s="83"/>
      <c r="F285" s="31"/>
      <c r="G285" s="31"/>
      <c r="H285" s="58"/>
      <c r="I285" s="1" t="str">
        <f>IF(SUM(H285)&gt;0.49,"*","")</f>
        <v/>
      </c>
      <c r="M285" s="88">
        <f t="shared" si="53"/>
        <v>0</v>
      </c>
      <c r="N285" s="88">
        <f t="shared" si="53"/>
        <v>0</v>
      </c>
    </row>
    <row r="286" spans="1:14" hidden="1" x14ac:dyDescent="0.25">
      <c r="A286" s="19"/>
      <c r="B286" s="25"/>
      <c r="C286" s="25"/>
      <c r="D286" s="25"/>
      <c r="E286" s="25"/>
      <c r="F286" s="25"/>
      <c r="G286" s="25"/>
      <c r="H286" s="24"/>
      <c r="I286" s="1" t="str">
        <f>IF(SUM(H286)&gt;0.49,"*","")</f>
        <v/>
      </c>
      <c r="M286" s="88">
        <f t="shared" si="53"/>
        <v>0</v>
      </c>
      <c r="N286" s="88">
        <f t="shared" si="53"/>
        <v>0</v>
      </c>
    </row>
    <row r="287" spans="1:14" hidden="1" x14ac:dyDescent="0.25">
      <c r="A287" s="19"/>
      <c r="B287" s="25"/>
      <c r="C287" s="25"/>
      <c r="D287" s="25"/>
      <c r="E287" s="25"/>
      <c r="F287" s="25"/>
      <c r="G287" s="25"/>
      <c r="H287" s="26"/>
      <c r="I287" s="1" t="str">
        <f>IF(I288="*","*","")</f>
        <v/>
      </c>
      <c r="M287" s="88">
        <f t="shared" si="53"/>
        <v>0</v>
      </c>
      <c r="N287" s="88">
        <f t="shared" si="53"/>
        <v>0</v>
      </c>
    </row>
    <row r="288" spans="1:14" hidden="1" x14ac:dyDescent="0.25">
      <c r="A288" s="19"/>
      <c r="B288" s="25"/>
      <c r="C288" s="25"/>
      <c r="D288" s="25"/>
      <c r="E288" s="25"/>
      <c r="F288" s="25"/>
      <c r="G288" s="16" t="s">
        <v>139</v>
      </c>
      <c r="H288" s="23">
        <f t="shared" ref="H288" si="54">SUM(H285:H287)</f>
        <v>0</v>
      </c>
      <c r="I288" s="1" t="str">
        <f>IF(SUM(H288)&gt;0.49,"*","")</f>
        <v/>
      </c>
      <c r="M288" s="88">
        <f t="shared" si="53"/>
        <v>0</v>
      </c>
      <c r="N288" s="88">
        <f t="shared" si="53"/>
        <v>0</v>
      </c>
    </row>
    <row r="289" spans="1:17" hidden="1" x14ac:dyDescent="0.25">
      <c r="A289" s="19"/>
      <c r="B289" s="25"/>
      <c r="C289" s="25"/>
      <c r="D289" s="25"/>
      <c r="E289" s="25"/>
      <c r="F289" s="25"/>
      <c r="G289" s="25"/>
      <c r="H289" s="26"/>
      <c r="I289" s="1" t="str">
        <f>IF(I288="*","*","")</f>
        <v/>
      </c>
      <c r="M289" s="88">
        <f t="shared" si="53"/>
        <v>0</v>
      </c>
      <c r="N289" s="88">
        <f t="shared" si="53"/>
        <v>0</v>
      </c>
    </row>
    <row r="290" spans="1:17" x14ac:dyDescent="0.25">
      <c r="A290" s="19"/>
      <c r="I290" s="1" t="s">
        <v>65</v>
      </c>
      <c r="M290" s="88">
        <f t="shared" si="53"/>
        <v>0</v>
      </c>
      <c r="N290" s="88">
        <f t="shared" si="53"/>
        <v>0</v>
      </c>
    </row>
    <row r="291" spans="1:17" x14ac:dyDescent="0.25">
      <c r="A291" s="19"/>
      <c r="G291" s="10" t="s">
        <v>45</v>
      </c>
      <c r="H291" s="52">
        <f>SUM(H283,H277,H265,H260,H241,H220,H205,H189,H196,H158,H168,H147,H134,H129,H125,H116,H105,H70+H288)</f>
        <v>995939.56248383992</v>
      </c>
      <c r="I291" s="1" t="s">
        <v>65</v>
      </c>
      <c r="K291" s="8">
        <f>-H291+'Expense Input'!M92+Payroll!M110</f>
        <v>0</v>
      </c>
      <c r="M291" s="89">
        <f>SUM(M45:M290)</f>
        <v>973469.37048383988</v>
      </c>
      <c r="N291" s="89">
        <f>SUM(N45:N290)</f>
        <v>22470.191999999999</v>
      </c>
      <c r="P291" s="8"/>
    </row>
    <row r="292" spans="1:17" x14ac:dyDescent="0.25">
      <c r="A292" s="19"/>
      <c r="B292" s="10"/>
      <c r="C292" s="10"/>
      <c r="D292" s="10"/>
      <c r="E292" s="10"/>
      <c r="F292" s="10"/>
      <c r="I292" s="1" t="s">
        <v>65</v>
      </c>
    </row>
    <row r="293" spans="1:17" x14ac:dyDescent="0.25">
      <c r="A293" s="19"/>
      <c r="B293" s="10"/>
      <c r="C293" s="10"/>
      <c r="D293" s="164" t="str">
        <f>IF(H293&lt;0,"Excess (Deficit) of Revenues Over Expenditures", "Excess of Revenues Over Expenditures")</f>
        <v>Excess of Revenues Over Expenditures</v>
      </c>
      <c r="E293" s="164"/>
      <c r="F293" s="164"/>
      <c r="G293" s="164"/>
      <c r="H293" s="50">
        <f>+H41-H291</f>
        <v>1323.8795161601156</v>
      </c>
      <c r="I293" s="1" t="s">
        <v>65</v>
      </c>
      <c r="M293" s="50">
        <f>+M41-M291</f>
        <v>1323.8795161601156</v>
      </c>
      <c r="N293" s="50">
        <f t="shared" ref="N293" si="55">+N41-N291</f>
        <v>0</v>
      </c>
    </row>
    <row r="294" spans="1:17" x14ac:dyDescent="0.25">
      <c r="I294" s="1" t="s">
        <v>65</v>
      </c>
    </row>
    <row r="295" spans="1:17" x14ac:dyDescent="0.25">
      <c r="A295" s="19"/>
      <c r="B295" s="1"/>
      <c r="C295" s="1"/>
      <c r="D295" s="165" t="s">
        <v>85</v>
      </c>
      <c r="E295" s="165"/>
      <c r="F295" s="165"/>
      <c r="G295" s="165"/>
      <c r="H295" s="67">
        <v>626897.91</v>
      </c>
      <c r="I295" s="1" t="s">
        <v>65</v>
      </c>
    </row>
    <row r="296" spans="1:17" x14ac:dyDescent="0.25">
      <c r="H296" s="21"/>
      <c r="I296" s="1" t="s">
        <v>65</v>
      </c>
    </row>
    <row r="297" spans="1:17" ht="13.8" thickBot="1" x14ac:dyDescent="0.3">
      <c r="A297" s="19"/>
      <c r="B297" s="10"/>
      <c r="C297" s="10"/>
      <c r="D297" s="10" t="s">
        <v>86</v>
      </c>
      <c r="E297" s="10"/>
      <c r="F297" s="10"/>
      <c r="G297" s="10"/>
      <c r="H297" s="85">
        <f>+H293+H295</f>
        <v>628221.78951616015</v>
      </c>
      <c r="I297" s="1" t="s">
        <v>65</v>
      </c>
    </row>
    <row r="298" spans="1:17" ht="13.8" thickTop="1" x14ac:dyDescent="0.25">
      <c r="I298" s="1" t="s">
        <v>65</v>
      </c>
      <c r="Q298" s="8"/>
    </row>
    <row r="299" spans="1:17" x14ac:dyDescent="0.25">
      <c r="I299" s="1" t="s">
        <v>65</v>
      </c>
    </row>
    <row r="300" spans="1:17" x14ac:dyDescent="0.25">
      <c r="I300" s="1" t="s">
        <v>65</v>
      </c>
    </row>
    <row r="301" spans="1:17" hidden="1" x14ac:dyDescent="0.25">
      <c r="D301"/>
      <c r="E301"/>
      <c r="F301"/>
      <c r="G301"/>
      <c r="H301"/>
      <c r="I301"/>
      <c r="J301"/>
      <c r="K301"/>
      <c r="L301"/>
      <c r="M301"/>
      <c r="N301"/>
    </row>
    <row r="302" spans="1:17" hidden="1" x14ac:dyDescent="0.25">
      <c r="D302"/>
      <c r="E302"/>
      <c r="F302"/>
      <c r="G302"/>
      <c r="H302"/>
      <c r="I302"/>
      <c r="J302"/>
      <c r="K302"/>
      <c r="L302"/>
      <c r="M302"/>
      <c r="N302"/>
    </row>
    <row r="303" spans="1:17" hidden="1" x14ac:dyDescent="0.25">
      <c r="D303"/>
      <c r="E303"/>
      <c r="F303"/>
      <c r="G303"/>
      <c r="H303"/>
      <c r="I303"/>
      <c r="J303"/>
      <c r="K303"/>
      <c r="L303"/>
      <c r="M303"/>
      <c r="N303"/>
    </row>
    <row r="304" spans="1:17" hidden="1" x14ac:dyDescent="0.25">
      <c r="D304"/>
      <c r="E304"/>
      <c r="F304"/>
      <c r="G304"/>
      <c r="H304"/>
      <c r="I304"/>
      <c r="J304"/>
      <c r="K304"/>
      <c r="L304"/>
      <c r="M304"/>
      <c r="N304"/>
    </row>
    <row r="305" spans="4:18" hidden="1" x14ac:dyDescent="0.25">
      <c r="D305"/>
      <c r="E305"/>
      <c r="F305"/>
      <c r="G305"/>
      <c r="H305"/>
      <c r="I305"/>
      <c r="J305"/>
      <c r="K305"/>
      <c r="L305"/>
      <c r="M305"/>
      <c r="N305"/>
    </row>
    <row r="306" spans="4:18" hidden="1" x14ac:dyDescent="0.25">
      <c r="D306"/>
      <c r="E306"/>
      <c r="F306"/>
      <c r="G306"/>
      <c r="H306"/>
      <c r="I306"/>
      <c r="J306"/>
      <c r="K306"/>
      <c r="L306"/>
      <c r="M306"/>
      <c r="N306"/>
    </row>
    <row r="307" spans="4:18" hidden="1" x14ac:dyDescent="0.25">
      <c r="D307"/>
      <c r="E307"/>
      <c r="F307"/>
      <c r="G307"/>
      <c r="H307"/>
      <c r="I307"/>
      <c r="J307"/>
      <c r="K307"/>
      <c r="L307"/>
      <c r="M307"/>
      <c r="N307"/>
    </row>
    <row r="308" spans="4:18" x14ac:dyDescent="0.25">
      <c r="D308"/>
      <c r="E308"/>
      <c r="F308"/>
      <c r="G308"/>
      <c r="H308"/>
      <c r="I308"/>
      <c r="J308"/>
      <c r="K308"/>
      <c r="L308"/>
      <c r="M308"/>
      <c r="N308"/>
    </row>
    <row r="309" spans="4:18" hidden="1" x14ac:dyDescent="0.25">
      <c r="H309"/>
      <c r="I309" s="22" t="e">
        <f t="shared" ref="I309:R309" si="56">I293-I307</f>
        <v>#VALUE!</v>
      </c>
      <c r="J309" s="22"/>
      <c r="K309" s="22"/>
      <c r="L309" s="22"/>
      <c r="M309" s="22"/>
      <c r="N309" s="22"/>
      <c r="O309" s="22"/>
      <c r="P309" s="22"/>
      <c r="Q309" s="22"/>
      <c r="R309" s="22">
        <f t="shared" si="56"/>
        <v>0</v>
      </c>
    </row>
    <row r="310" spans="4:18" x14ac:dyDescent="0.25">
      <c r="H310"/>
    </row>
    <row r="311" spans="4:18" x14ac:dyDescent="0.25">
      <c r="H311"/>
    </row>
    <row r="312" spans="4:18" x14ac:dyDescent="0.25">
      <c r="H312"/>
    </row>
    <row r="313" spans="4:18" x14ac:dyDescent="0.25">
      <c r="H313"/>
    </row>
  </sheetData>
  <sheetProtection algorithmName="SHA-512" hashValue="KgVTbpHQ9KqkhP18JCRefFZUBEpA+b6HbTqwlv3WZzpN4uza8hV9yUkOKDsOn2FQq74afYxKCBv2dXsru50S1w==" saltValue="dBp/PSxTqSV33hfLJ5w8lg==" spinCount="100000" sheet="1" objects="1" scenarios="1"/>
  <autoFilter ref="I1:I307" xr:uid="{00000000-0009-0000-0000-000001000000}">
    <filterColumn colId="0">
      <customFilters>
        <customFilter operator="notEqual" val=" "/>
      </customFilters>
    </filterColumn>
  </autoFilter>
  <mergeCells count="2">
    <mergeCell ref="D293:G293"/>
    <mergeCell ref="D295:G295"/>
  </mergeCells>
  <phoneticPr fontId="14" type="noConversion"/>
  <printOptions horizontalCentered="1"/>
  <pageMargins left="0" right="0" top="0.5" bottom="0.5" header="0" footer="0"/>
  <pageSetup fitToHeight="5" orientation="portrait" r:id="rId1"/>
  <headerFooter alignWithMargins="0"/>
  <rowBreaks count="2" manualBreakCount="2">
    <brk id="134" max="16383" man="1"/>
    <brk id="2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S198"/>
  <sheetViews>
    <sheetView showOutlineSymbols="0" topLeftCell="B1" zoomScaleNormal="100" workbookViewId="0">
      <selection activeCell="B1" sqref="B1:F1"/>
    </sheetView>
  </sheetViews>
  <sheetFormatPr defaultColWidth="9.109375" defaultRowHeight="12.75" customHeight="1" x14ac:dyDescent="0.25"/>
  <cols>
    <col min="1" max="1" width="6.6640625" style="1" hidden="1" customWidth="1"/>
    <col min="2" max="2" width="4" style="1" customWidth="1"/>
    <col min="3" max="3" width="5" style="1" customWidth="1"/>
    <col min="4" max="5" width="1.88671875" style="1" customWidth="1"/>
    <col min="6" max="6" width="35.109375" style="1" customWidth="1"/>
    <col min="7" max="7" width="0.88671875" style="1" customWidth="1"/>
    <col min="8" max="8" width="11" style="1" customWidth="1"/>
    <col min="9" max="9" width="0.88671875" style="1" customWidth="1"/>
    <col min="10" max="10" width="11" style="1" bestFit="1" customWidth="1"/>
    <col min="11" max="11" width="0.88671875" style="1" customWidth="1"/>
    <col min="12" max="12" width="24.6640625" style="1" bestFit="1" customWidth="1"/>
    <col min="13" max="13" width="9.109375" style="25" hidden="1" customWidth="1"/>
    <col min="14" max="14" width="3.109375" style="25" hidden="1" customWidth="1"/>
    <col min="15" max="15" width="3.88671875" style="25" hidden="1" customWidth="1"/>
    <col min="16" max="17" width="1.5546875" style="25" hidden="1" customWidth="1"/>
    <col min="18" max="18" width="25.88671875" style="25" hidden="1" customWidth="1"/>
    <col min="19" max="19" width="6.77734375" style="25" hidden="1" customWidth="1"/>
    <col min="20" max="22" width="9.109375" style="25" customWidth="1"/>
    <col min="23" max="16384" width="9.109375" style="25"/>
  </cols>
  <sheetData>
    <row r="1" spans="1:19" s="1" customFormat="1" ht="13.2" x14ac:dyDescent="0.25">
      <c r="B1" s="166" t="str">
        <f>Budget!B1</f>
        <v>CHAUTAUQUA LEARN &amp; SERVE CHARTER SCHOOL</v>
      </c>
      <c r="C1" s="166"/>
      <c r="D1" s="166"/>
      <c r="E1" s="166"/>
      <c r="F1" s="166"/>
      <c r="M1" s="1" t="s">
        <v>65</v>
      </c>
    </row>
    <row r="2" spans="1:19" s="1" customFormat="1" ht="13.2" x14ac:dyDescent="0.25">
      <c r="B2" s="166" t="s">
        <v>82</v>
      </c>
      <c r="C2" s="166"/>
      <c r="D2" s="166"/>
      <c r="E2" s="166"/>
      <c r="F2" s="166"/>
      <c r="M2" s="1" t="s">
        <v>65</v>
      </c>
    </row>
    <row r="3" spans="1:19" s="1" customFormat="1" ht="17.25" customHeight="1" x14ac:dyDescent="0.25">
      <c r="M3" s="1" t="s">
        <v>65</v>
      </c>
    </row>
    <row r="4" spans="1:19" s="1" customFormat="1" ht="17.25" customHeight="1" x14ac:dyDescent="0.25">
      <c r="B4" s="10"/>
      <c r="C4" s="10"/>
      <c r="D4" s="10"/>
      <c r="E4" s="10"/>
      <c r="F4" s="10"/>
      <c r="M4" s="1" t="s">
        <v>65</v>
      </c>
    </row>
    <row r="5" spans="1:19" s="1" customFormat="1" ht="13.2" x14ac:dyDescent="0.25">
      <c r="M5" s="1" t="s">
        <v>65</v>
      </c>
    </row>
    <row r="6" spans="1:19" s="1" customFormat="1" ht="13.2" x14ac:dyDescent="0.25">
      <c r="J6" s="14"/>
      <c r="M6" s="1" t="s">
        <v>65</v>
      </c>
    </row>
    <row r="7" spans="1:19" s="1" customFormat="1" ht="13.2" x14ac:dyDescent="0.25">
      <c r="H7" s="54" t="s">
        <v>74</v>
      </c>
      <c r="J7" s="54" t="s">
        <v>78</v>
      </c>
      <c r="M7" s="1" t="s">
        <v>65</v>
      </c>
    </row>
    <row r="8" spans="1:19" s="4" customFormat="1" ht="12.75" customHeight="1" x14ac:dyDescent="0.25">
      <c r="H8" s="15" t="s">
        <v>183</v>
      </c>
      <c r="J8" s="15" t="s">
        <v>187</v>
      </c>
      <c r="L8" s="15" t="s">
        <v>48</v>
      </c>
      <c r="M8" s="1" t="s">
        <v>65</v>
      </c>
    </row>
    <row r="9" spans="1:19" ht="12.75" customHeight="1" x14ac:dyDescent="0.25">
      <c r="A9" s="25"/>
      <c r="B9" s="29"/>
      <c r="C9" s="29"/>
      <c r="D9" s="29"/>
      <c r="E9" s="29"/>
      <c r="F9" s="25"/>
      <c r="L9" s="17"/>
      <c r="M9" s="1" t="s">
        <v>65</v>
      </c>
      <c r="Q9" s="4"/>
      <c r="S9" s="38"/>
    </row>
    <row r="10" spans="1:19" ht="12.75" customHeight="1" x14ac:dyDescent="0.25">
      <c r="A10" s="31"/>
      <c r="B10" s="148">
        <v>100</v>
      </c>
      <c r="C10" s="148">
        <v>3300</v>
      </c>
      <c r="D10" s="148">
        <v>0</v>
      </c>
      <c r="E10" s="148">
        <v>0</v>
      </c>
      <c r="F10" s="149" t="s">
        <v>156</v>
      </c>
      <c r="G10" s="64"/>
      <c r="H10" s="82">
        <v>722696.19</v>
      </c>
      <c r="I10" s="64"/>
      <c r="J10" s="82">
        <f>+J47</f>
        <v>730378</v>
      </c>
      <c r="L10" s="49" t="s">
        <v>198</v>
      </c>
      <c r="M10" s="25" t="str">
        <f t="shared" ref="M10:M37" si="0">IF(J10&gt;0.49,"*","")</f>
        <v>*</v>
      </c>
      <c r="N10" s="87">
        <v>100</v>
      </c>
      <c r="O10" s="87">
        <v>3300</v>
      </c>
      <c r="P10" s="87">
        <v>0</v>
      </c>
      <c r="Q10" s="87">
        <v>0</v>
      </c>
      <c r="R10" s="86" t="s">
        <v>156</v>
      </c>
      <c r="S10" s="38">
        <v>722696.19</v>
      </c>
    </row>
    <row r="11" spans="1:19" ht="12.75" hidden="1" customHeight="1" x14ac:dyDescent="0.25">
      <c r="A11" s="31"/>
      <c r="B11" s="148">
        <v>100</v>
      </c>
      <c r="C11" s="148">
        <v>3121</v>
      </c>
      <c r="D11" s="148">
        <v>0</v>
      </c>
      <c r="E11" s="148">
        <v>0</v>
      </c>
      <c r="F11" s="149" t="s">
        <v>193</v>
      </c>
      <c r="H11" s="38">
        <v>358.54</v>
      </c>
      <c r="J11" s="38">
        <v>0</v>
      </c>
      <c r="L11" s="49" t="s">
        <v>179</v>
      </c>
      <c r="M11" s="25" t="str">
        <f>IF(J11&gt;0.49,"*","")</f>
        <v/>
      </c>
      <c r="N11" s="87">
        <v>100</v>
      </c>
      <c r="O11" s="87">
        <v>3121</v>
      </c>
      <c r="P11" s="87">
        <v>0</v>
      </c>
      <c r="Q11" s="87">
        <v>0</v>
      </c>
      <c r="R11" s="86" t="s">
        <v>193</v>
      </c>
      <c r="S11" s="38">
        <v>358.54</v>
      </c>
    </row>
    <row r="12" spans="1:19" ht="12.75" customHeight="1" x14ac:dyDescent="0.25">
      <c r="A12" s="31"/>
      <c r="B12" s="148">
        <v>100</v>
      </c>
      <c r="C12" s="148">
        <v>3230</v>
      </c>
      <c r="D12" s="148">
        <v>0</v>
      </c>
      <c r="E12" s="148">
        <v>0</v>
      </c>
      <c r="F12" s="149" t="s">
        <v>157</v>
      </c>
      <c r="H12" s="38">
        <v>60000</v>
      </c>
      <c r="J12" s="38">
        <f>H12</f>
        <v>60000</v>
      </c>
      <c r="L12" s="49" t="s">
        <v>87</v>
      </c>
      <c r="M12" s="25" t="str">
        <f>IF(J12&gt;0.49,"*","")</f>
        <v>*</v>
      </c>
      <c r="N12" s="87">
        <v>100</v>
      </c>
      <c r="O12" s="87">
        <v>3230</v>
      </c>
      <c r="P12" s="87">
        <v>0</v>
      </c>
      <c r="Q12" s="87">
        <v>0</v>
      </c>
      <c r="R12" s="86" t="s">
        <v>157</v>
      </c>
      <c r="S12" s="38">
        <v>60000</v>
      </c>
    </row>
    <row r="13" spans="1:19" ht="12.75" hidden="1" customHeight="1" x14ac:dyDescent="0.25">
      <c r="A13" s="31"/>
      <c r="B13" s="148">
        <v>100</v>
      </c>
      <c r="C13" s="148">
        <v>3355</v>
      </c>
      <c r="D13" s="148">
        <v>0</v>
      </c>
      <c r="E13" s="148">
        <v>0</v>
      </c>
      <c r="F13" s="149" t="s">
        <v>195</v>
      </c>
      <c r="H13" s="38">
        <v>47</v>
      </c>
      <c r="J13" s="38">
        <v>0</v>
      </c>
      <c r="L13" s="49" t="s">
        <v>179</v>
      </c>
      <c r="M13" s="25" t="str">
        <f t="shared" ref="M13" si="1">IF(J13&gt;0.49,"*","")</f>
        <v/>
      </c>
      <c r="N13" s="87">
        <v>100</v>
      </c>
      <c r="O13" s="87">
        <v>3355</v>
      </c>
      <c r="P13" s="87">
        <v>0</v>
      </c>
      <c r="Q13" s="87">
        <v>0</v>
      </c>
      <c r="R13" s="86" t="s">
        <v>195</v>
      </c>
      <c r="S13" s="38">
        <v>47</v>
      </c>
    </row>
    <row r="14" spans="1:19" ht="12.75" customHeight="1" x14ac:dyDescent="0.25">
      <c r="A14" s="31"/>
      <c r="B14" s="148">
        <v>100</v>
      </c>
      <c r="C14" s="148">
        <v>3390</v>
      </c>
      <c r="D14" s="148">
        <v>0</v>
      </c>
      <c r="E14" s="148">
        <v>0</v>
      </c>
      <c r="F14" s="149" t="s">
        <v>217</v>
      </c>
      <c r="H14" s="38">
        <v>55200</v>
      </c>
      <c r="J14" s="38">
        <f>H14+18000</f>
        <v>73200</v>
      </c>
      <c r="L14" s="49" t="s">
        <v>214</v>
      </c>
      <c r="M14" s="25" t="str">
        <f t="shared" si="0"/>
        <v>*</v>
      </c>
      <c r="N14" s="87">
        <v>100</v>
      </c>
      <c r="O14" s="87">
        <v>3390</v>
      </c>
      <c r="P14" s="87">
        <v>0</v>
      </c>
      <c r="Q14" s="87">
        <v>0</v>
      </c>
      <c r="R14" s="86" t="s">
        <v>182</v>
      </c>
      <c r="S14" s="38">
        <v>55200</v>
      </c>
    </row>
    <row r="15" spans="1:19" ht="12.75" hidden="1" customHeight="1" x14ac:dyDescent="0.25">
      <c r="A15" s="31"/>
      <c r="B15" s="148">
        <v>100</v>
      </c>
      <c r="C15" s="148">
        <v>3400</v>
      </c>
      <c r="D15" s="148">
        <v>0</v>
      </c>
      <c r="E15" s="148">
        <v>0</v>
      </c>
      <c r="F15" s="149" t="s">
        <v>94</v>
      </c>
      <c r="H15" s="38">
        <v>2.25</v>
      </c>
      <c r="J15" s="38">
        <v>0</v>
      </c>
      <c r="L15" s="49" t="s">
        <v>179</v>
      </c>
      <c r="M15" s="25" t="str">
        <f t="shared" si="0"/>
        <v/>
      </c>
      <c r="N15" s="87">
        <v>100</v>
      </c>
      <c r="O15" s="87">
        <v>3400</v>
      </c>
      <c r="P15" s="87">
        <v>0</v>
      </c>
      <c r="Q15" s="87">
        <v>0</v>
      </c>
      <c r="R15" s="86" t="s">
        <v>94</v>
      </c>
      <c r="S15" s="38">
        <v>2.25</v>
      </c>
    </row>
    <row r="16" spans="1:19" ht="12.75" customHeight="1" x14ac:dyDescent="0.25">
      <c r="A16" s="31"/>
      <c r="B16" s="148">
        <v>100</v>
      </c>
      <c r="C16" s="148">
        <v>3473</v>
      </c>
      <c r="D16" s="148">
        <v>0</v>
      </c>
      <c r="E16" s="148">
        <v>0</v>
      </c>
      <c r="F16" s="149" t="s">
        <v>95</v>
      </c>
      <c r="H16" s="38">
        <v>28105.26</v>
      </c>
      <c r="J16" s="38">
        <f>H16</f>
        <v>28105.26</v>
      </c>
      <c r="L16" s="49" t="s">
        <v>87</v>
      </c>
      <c r="M16" s="25" t="str">
        <f t="shared" ref="M16:M31" si="2">IF(J16&gt;0.49,"*","")</f>
        <v>*</v>
      </c>
      <c r="N16" s="87">
        <v>100</v>
      </c>
      <c r="O16" s="87">
        <v>3473</v>
      </c>
      <c r="P16" s="87">
        <v>0</v>
      </c>
      <c r="Q16" s="87">
        <v>0</v>
      </c>
      <c r="R16" s="86" t="s">
        <v>95</v>
      </c>
      <c r="S16" s="38">
        <v>28105.26</v>
      </c>
    </row>
    <row r="17" spans="1:19" ht="12.75" customHeight="1" x14ac:dyDescent="0.25">
      <c r="A17" s="31"/>
      <c r="B17" s="148">
        <v>100</v>
      </c>
      <c r="C17" s="148">
        <v>3476</v>
      </c>
      <c r="D17" s="148">
        <v>0</v>
      </c>
      <c r="E17" s="148">
        <v>0</v>
      </c>
      <c r="F17" s="149" t="s">
        <v>96</v>
      </c>
      <c r="H17" s="38">
        <v>520</v>
      </c>
      <c r="J17" s="38">
        <f>H17</f>
        <v>520</v>
      </c>
      <c r="L17" s="49" t="s">
        <v>87</v>
      </c>
      <c r="M17" s="25" t="str">
        <f t="shared" ref="M17" si="3">IF(J17&gt;0.49,"*","")</f>
        <v>*</v>
      </c>
      <c r="N17" s="87">
        <v>100</v>
      </c>
      <c r="O17" s="87">
        <v>3476</v>
      </c>
      <c r="P17" s="87">
        <v>0</v>
      </c>
      <c r="Q17" s="87">
        <v>0</v>
      </c>
      <c r="R17" s="86" t="s">
        <v>96</v>
      </c>
      <c r="S17" s="38">
        <v>520</v>
      </c>
    </row>
    <row r="18" spans="1:19" ht="12.75" customHeight="1" x14ac:dyDescent="0.25">
      <c r="A18" s="31"/>
      <c r="B18" s="148">
        <v>100</v>
      </c>
      <c r="C18" s="148">
        <v>3600</v>
      </c>
      <c r="D18" s="148">
        <v>0</v>
      </c>
      <c r="E18" s="148">
        <v>0</v>
      </c>
      <c r="F18" s="149" t="s">
        <v>97</v>
      </c>
      <c r="H18" s="38">
        <v>82589.989999999991</v>
      </c>
      <c r="J18" s="38">
        <f>H18</f>
        <v>82589.989999999991</v>
      </c>
      <c r="L18" s="49" t="s">
        <v>87</v>
      </c>
      <c r="M18" s="25" t="str">
        <f t="shared" si="2"/>
        <v>*</v>
      </c>
      <c r="N18" s="87">
        <v>100</v>
      </c>
      <c r="O18" s="87">
        <v>3600</v>
      </c>
      <c r="P18" s="87">
        <v>0</v>
      </c>
      <c r="Q18" s="87">
        <v>0</v>
      </c>
      <c r="R18" s="86" t="s">
        <v>97</v>
      </c>
      <c r="S18" s="38">
        <v>82589.989999999991</v>
      </c>
    </row>
    <row r="19" spans="1:19" ht="12.75" customHeight="1" x14ac:dyDescent="0.25">
      <c r="A19" s="31"/>
      <c r="B19" s="148">
        <v>360</v>
      </c>
      <c r="C19" s="148">
        <v>3397</v>
      </c>
      <c r="D19" s="148">
        <v>0</v>
      </c>
      <c r="E19" s="148">
        <v>0</v>
      </c>
      <c r="F19" s="149" t="s">
        <v>132</v>
      </c>
      <c r="H19" s="38">
        <v>12685</v>
      </c>
      <c r="J19" s="38">
        <f>536*EnrNew*0.9</f>
        <v>22470.191999999999</v>
      </c>
      <c r="L19" s="49" t="s">
        <v>215</v>
      </c>
      <c r="M19" s="25" t="str">
        <f t="shared" si="2"/>
        <v>*</v>
      </c>
      <c r="N19" s="87">
        <v>360</v>
      </c>
      <c r="O19" s="87">
        <v>3397</v>
      </c>
      <c r="P19" s="87">
        <v>0</v>
      </c>
      <c r="Q19" s="87">
        <v>0</v>
      </c>
      <c r="R19" s="86" t="s">
        <v>132</v>
      </c>
      <c r="S19" s="38">
        <v>12685</v>
      </c>
    </row>
    <row r="20" spans="1:19" ht="12.75" hidden="1" customHeight="1" x14ac:dyDescent="0.25">
      <c r="A20" s="31"/>
      <c r="B20" s="148">
        <v>360</v>
      </c>
      <c r="C20" s="148">
        <v>3413</v>
      </c>
      <c r="D20" s="148">
        <v>0</v>
      </c>
      <c r="E20" s="148">
        <v>0</v>
      </c>
      <c r="F20" s="149" t="s">
        <v>188</v>
      </c>
      <c r="H20" s="38">
        <v>10227</v>
      </c>
      <c r="J20" s="38">
        <v>0</v>
      </c>
      <c r="L20" s="49" t="s">
        <v>179</v>
      </c>
      <c r="M20" s="25" t="str">
        <f t="shared" si="2"/>
        <v/>
      </c>
      <c r="N20" s="87">
        <v>360</v>
      </c>
      <c r="O20" s="87">
        <v>3413</v>
      </c>
      <c r="P20" s="87">
        <v>0</v>
      </c>
      <c r="Q20" s="87">
        <v>0</v>
      </c>
      <c r="R20" s="86" t="s">
        <v>188</v>
      </c>
      <c r="S20" s="38">
        <v>10227</v>
      </c>
    </row>
    <row r="21" spans="1:19" ht="12.75" hidden="1" customHeight="1" x14ac:dyDescent="0.25">
      <c r="A21" s="25"/>
      <c r="B21" s="73"/>
      <c r="C21" s="73"/>
      <c r="D21" s="74"/>
      <c r="E21" s="75"/>
      <c r="F21" s="76"/>
      <c r="H21" s="77"/>
      <c r="J21" s="38"/>
      <c r="L21" s="49"/>
      <c r="M21" s="25" t="str">
        <f t="shared" si="2"/>
        <v/>
      </c>
      <c r="S21" s="38"/>
    </row>
    <row r="22" spans="1:19" ht="12.75" hidden="1" customHeight="1" x14ac:dyDescent="0.25">
      <c r="A22" s="25"/>
      <c r="B22" s="73"/>
      <c r="C22" s="73"/>
      <c r="D22" s="74"/>
      <c r="E22" s="75"/>
      <c r="F22" s="76"/>
      <c r="H22" s="77"/>
      <c r="J22" s="38"/>
      <c r="L22" s="49"/>
      <c r="M22" s="25" t="str">
        <f t="shared" si="2"/>
        <v/>
      </c>
      <c r="S22" s="38"/>
    </row>
    <row r="23" spans="1:19" ht="12.75" hidden="1" customHeight="1" x14ac:dyDescent="0.25">
      <c r="A23" s="25"/>
      <c r="B23" s="73"/>
      <c r="C23" s="73"/>
      <c r="D23" s="74"/>
      <c r="E23" s="75"/>
      <c r="F23" s="76"/>
      <c r="H23" s="77"/>
      <c r="J23" s="38"/>
      <c r="L23" s="49"/>
      <c r="M23" s="25" t="str">
        <f t="shared" si="2"/>
        <v/>
      </c>
    </row>
    <row r="24" spans="1:19" ht="12.75" hidden="1" customHeight="1" x14ac:dyDescent="0.25">
      <c r="B24" s="73"/>
      <c r="C24" s="73"/>
      <c r="D24" s="74"/>
      <c r="E24" s="75"/>
      <c r="F24" s="76"/>
      <c r="H24" s="77"/>
      <c r="J24" s="38"/>
      <c r="L24" s="49"/>
      <c r="M24" s="25" t="str">
        <f t="shared" si="2"/>
        <v/>
      </c>
    </row>
    <row r="25" spans="1:19" ht="12.75" hidden="1" customHeight="1" x14ac:dyDescent="0.25">
      <c r="A25" s="25"/>
      <c r="B25" s="73"/>
      <c r="C25" s="73"/>
      <c r="D25" s="74"/>
      <c r="E25" s="75"/>
      <c r="F25" s="76"/>
      <c r="H25" s="77"/>
      <c r="J25" s="38"/>
      <c r="L25" s="49"/>
      <c r="M25" s="25" t="str">
        <f t="shared" si="2"/>
        <v/>
      </c>
    </row>
    <row r="26" spans="1:19" ht="12.75" hidden="1" customHeight="1" x14ac:dyDescent="0.25">
      <c r="A26" s="25"/>
      <c r="B26" s="73"/>
      <c r="C26" s="73"/>
      <c r="D26" s="74"/>
      <c r="E26" s="75"/>
      <c r="F26" s="76"/>
      <c r="H26" s="77"/>
      <c r="J26" s="38"/>
      <c r="L26" s="49"/>
      <c r="M26" s="25" t="str">
        <f t="shared" si="2"/>
        <v/>
      </c>
    </row>
    <row r="27" spans="1:19" ht="12.75" hidden="1" customHeight="1" x14ac:dyDescent="0.25">
      <c r="A27" s="25"/>
      <c r="B27" s="73"/>
      <c r="C27" s="73"/>
      <c r="D27" s="74"/>
      <c r="E27" s="75"/>
      <c r="F27" s="76"/>
      <c r="H27" s="77"/>
      <c r="J27" s="38"/>
      <c r="L27" s="49"/>
      <c r="M27" s="31" t="str">
        <f t="shared" si="2"/>
        <v/>
      </c>
    </row>
    <row r="28" spans="1:19" ht="12.75" hidden="1" customHeight="1" x14ac:dyDescent="0.25">
      <c r="A28" s="25"/>
      <c r="B28" s="73"/>
      <c r="C28" s="73"/>
      <c r="D28" s="74"/>
      <c r="E28" s="75"/>
      <c r="F28" s="76"/>
      <c r="H28" s="77"/>
      <c r="J28" s="38"/>
      <c r="L28" s="49"/>
      <c r="M28" s="25" t="str">
        <f t="shared" si="2"/>
        <v/>
      </c>
    </row>
    <row r="29" spans="1:19" ht="12.75" hidden="1" customHeight="1" x14ac:dyDescent="0.25">
      <c r="A29" s="25"/>
      <c r="B29" s="73"/>
      <c r="C29" s="73"/>
      <c r="D29" s="74"/>
      <c r="E29" s="75"/>
      <c r="F29" s="76"/>
      <c r="H29" s="78"/>
      <c r="J29" s="82"/>
      <c r="L29" s="49"/>
      <c r="M29" s="25" t="str">
        <f t="shared" si="2"/>
        <v/>
      </c>
    </row>
    <row r="30" spans="1:19" ht="12.75" hidden="1" customHeight="1" x14ac:dyDescent="0.25">
      <c r="A30" s="25"/>
      <c r="B30" s="33"/>
      <c r="C30" s="33"/>
      <c r="D30" s="33"/>
      <c r="E30" s="33"/>
      <c r="F30" s="33"/>
      <c r="H30" s="46"/>
      <c r="J30" s="38"/>
      <c r="L30" s="49"/>
      <c r="M30" s="25" t="str">
        <f t="shared" si="2"/>
        <v/>
      </c>
    </row>
    <row r="31" spans="1:19" ht="12.75" hidden="1" customHeight="1" x14ac:dyDescent="0.25">
      <c r="A31" s="25"/>
      <c r="B31" s="45"/>
      <c r="C31" s="45"/>
      <c r="D31" s="45"/>
      <c r="E31" s="45"/>
      <c r="F31" s="45"/>
      <c r="H31" s="46"/>
      <c r="J31" s="38"/>
      <c r="L31" s="49"/>
      <c r="M31" s="25" t="str">
        <f t="shared" si="2"/>
        <v/>
      </c>
    </row>
    <row r="32" spans="1:19" ht="12.75" hidden="1" customHeight="1" x14ac:dyDescent="0.25">
      <c r="A32" s="25"/>
      <c r="B32" s="33"/>
      <c r="C32" s="33"/>
      <c r="D32" s="33"/>
      <c r="E32" s="33"/>
      <c r="F32" s="33"/>
      <c r="H32" s="46"/>
      <c r="J32" s="38"/>
      <c r="L32" s="49"/>
    </row>
    <row r="33" spans="1:13" ht="12.75" hidden="1" customHeight="1" x14ac:dyDescent="0.25">
      <c r="A33" s="25"/>
      <c r="B33" s="33"/>
      <c r="C33" s="33"/>
      <c r="D33" s="33"/>
      <c r="E33" s="33"/>
      <c r="F33" s="33"/>
      <c r="H33" s="46"/>
      <c r="J33" s="38"/>
      <c r="L33" s="41"/>
    </row>
    <row r="34" spans="1:13" ht="12.75" hidden="1" customHeight="1" x14ac:dyDescent="0.25">
      <c r="A34" s="25"/>
      <c r="B34" s="33"/>
      <c r="C34" s="33"/>
      <c r="D34" s="33"/>
      <c r="E34" s="33"/>
      <c r="F34" s="33"/>
      <c r="H34" s="46"/>
      <c r="J34" s="38"/>
      <c r="L34" s="41"/>
      <c r="M34" s="25" t="str">
        <f t="shared" si="0"/>
        <v/>
      </c>
    </row>
    <row r="35" spans="1:13" ht="12.75" hidden="1" customHeight="1" x14ac:dyDescent="0.25">
      <c r="A35" s="25"/>
      <c r="B35" s="33"/>
      <c r="C35" s="33"/>
      <c r="D35" s="33"/>
      <c r="E35" s="33"/>
      <c r="F35" s="33"/>
      <c r="H35" s="46"/>
      <c r="J35" s="38"/>
      <c r="L35" s="41"/>
      <c r="M35" s="25" t="str">
        <f t="shared" si="0"/>
        <v/>
      </c>
    </row>
    <row r="36" spans="1:13" ht="12.75" customHeight="1" x14ac:dyDescent="0.25">
      <c r="A36" s="25"/>
      <c r="B36" s="33"/>
      <c r="C36" s="33"/>
      <c r="D36" s="33"/>
      <c r="E36" s="33"/>
      <c r="F36" s="33"/>
      <c r="H36" s="38"/>
      <c r="J36" s="38"/>
      <c r="L36" s="17"/>
      <c r="M36" s="25" t="str">
        <f>M37</f>
        <v>*</v>
      </c>
    </row>
    <row r="37" spans="1:13" ht="12.75" customHeight="1" x14ac:dyDescent="0.25">
      <c r="A37" s="25"/>
      <c r="B37" s="33"/>
      <c r="C37" s="33"/>
      <c r="D37" s="33"/>
      <c r="E37" s="33"/>
      <c r="F37" s="33"/>
      <c r="H37" s="38">
        <f>SUM(H10:H36)</f>
        <v>972431.23</v>
      </c>
      <c r="J37" s="38">
        <f>SUM(J10:J35)</f>
        <v>997263.44200000004</v>
      </c>
      <c r="L37" s="17"/>
      <c r="M37" s="25" t="str">
        <f t="shared" si="0"/>
        <v>*</v>
      </c>
    </row>
    <row r="38" spans="1:13" ht="12.75" hidden="1" customHeight="1" x14ac:dyDescent="0.25">
      <c r="A38" s="25"/>
      <c r="B38" s="33"/>
      <c r="C38" s="33"/>
      <c r="D38" s="33"/>
      <c r="E38" s="33"/>
      <c r="F38" s="33"/>
      <c r="H38" s="38"/>
      <c r="J38" s="38"/>
      <c r="L38" s="17"/>
    </row>
    <row r="39" spans="1:13" ht="12.75" hidden="1" customHeight="1" x14ac:dyDescent="0.25">
      <c r="A39" s="25"/>
      <c r="B39" s="25"/>
      <c r="C39" s="25"/>
      <c r="D39" s="25"/>
      <c r="E39" s="25"/>
      <c r="F39" s="25"/>
      <c r="H39" s="27"/>
      <c r="J39" s="27"/>
      <c r="L39" s="17"/>
    </row>
    <row r="40" spans="1:13" ht="12.75" hidden="1" customHeight="1" x14ac:dyDescent="0.25">
      <c r="A40" s="25"/>
      <c r="B40" s="33"/>
      <c r="C40" s="33"/>
      <c r="D40" s="33"/>
      <c r="E40" s="33"/>
      <c r="F40" s="33"/>
      <c r="H40" s="38"/>
      <c r="J40" s="38"/>
      <c r="L40" s="17"/>
    </row>
    <row r="41" spans="1:13" ht="12.75" hidden="1" customHeight="1" x14ac:dyDescent="0.25">
      <c r="A41" s="25"/>
      <c r="B41" s="33"/>
      <c r="C41" s="33"/>
      <c r="D41" s="33"/>
      <c r="E41" s="33"/>
      <c r="F41" s="33"/>
      <c r="H41" s="38"/>
      <c r="J41" s="38"/>
      <c r="L41" s="17"/>
    </row>
    <row r="42" spans="1:13" ht="12.75" hidden="1" customHeight="1" x14ac:dyDescent="0.25">
      <c r="A42" s="25"/>
      <c r="B42" s="33"/>
      <c r="C42" s="33"/>
      <c r="D42" s="33"/>
      <c r="E42" s="33"/>
      <c r="F42" s="33"/>
      <c r="H42" s="53" t="s">
        <v>133</v>
      </c>
      <c r="J42" s="53">
        <v>46.58</v>
      </c>
      <c r="L42" s="63"/>
    </row>
    <row r="43" spans="1:13" ht="12.75" hidden="1" customHeight="1" x14ac:dyDescent="0.25">
      <c r="A43" s="25"/>
      <c r="B43" s="33"/>
      <c r="C43" s="33"/>
      <c r="D43" s="33"/>
      <c r="E43" s="33"/>
      <c r="F43" s="33"/>
      <c r="H43" s="53" t="s">
        <v>134</v>
      </c>
      <c r="J43" s="38">
        <v>46.58</v>
      </c>
      <c r="L43" s="63"/>
    </row>
    <row r="44" spans="1:13" ht="12.75" hidden="1" customHeight="1" x14ac:dyDescent="0.25">
      <c r="A44" s="25"/>
      <c r="B44" s="33"/>
      <c r="C44" s="33"/>
      <c r="D44" s="33"/>
      <c r="E44" s="33"/>
      <c r="F44" s="33"/>
      <c r="H44" s="53" t="s">
        <v>135</v>
      </c>
      <c r="J44" s="40">
        <v>1.01</v>
      </c>
      <c r="L44" s="63"/>
    </row>
    <row r="45" spans="1:13" ht="12.75" hidden="1" customHeight="1" x14ac:dyDescent="0.25">
      <c r="A45" s="25"/>
      <c r="B45" s="33"/>
      <c r="C45" s="33"/>
      <c r="D45" s="33"/>
      <c r="E45" s="33"/>
      <c r="F45" s="33"/>
      <c r="H45" s="161" t="s">
        <v>136</v>
      </c>
      <c r="I45" s="147"/>
      <c r="J45" s="162">
        <v>1.02</v>
      </c>
      <c r="L45" s="63"/>
    </row>
    <row r="46" spans="1:13" ht="12.75" hidden="1" customHeight="1" x14ac:dyDescent="0.25">
      <c r="A46" s="25"/>
      <c r="B46" s="33"/>
      <c r="C46" s="33"/>
      <c r="D46" s="33"/>
      <c r="E46" s="33"/>
      <c r="F46" s="33"/>
      <c r="H46" s="38"/>
      <c r="J46" s="38"/>
      <c r="L46" s="17"/>
    </row>
    <row r="47" spans="1:13" ht="12.75" hidden="1" customHeight="1" x14ac:dyDescent="0.25">
      <c r="A47" s="25"/>
      <c r="B47" s="33"/>
      <c r="C47" s="33"/>
      <c r="D47" s="33"/>
      <c r="E47" s="33"/>
      <c r="F47" s="33"/>
      <c r="H47" s="53" t="s">
        <v>131</v>
      </c>
      <c r="J47" s="84">
        <v>730378</v>
      </c>
      <c r="L47" s="63"/>
    </row>
    <row r="48" spans="1:13" ht="12.75" hidden="1" customHeight="1" x14ac:dyDescent="0.25">
      <c r="A48" s="25"/>
      <c r="B48" s="25"/>
      <c r="C48" s="25"/>
      <c r="D48" s="25"/>
      <c r="E48" s="25"/>
      <c r="F48" s="25"/>
      <c r="H48" s="53" t="s">
        <v>197</v>
      </c>
      <c r="J48" s="84">
        <v>431803</v>
      </c>
      <c r="L48" s="63"/>
    </row>
    <row r="49" spans="1:12" ht="12.75" hidden="1" customHeight="1" x14ac:dyDescent="0.25">
      <c r="A49" s="25"/>
      <c r="B49" s="25"/>
      <c r="C49" s="25"/>
      <c r="D49" s="25"/>
      <c r="E49" s="25"/>
      <c r="F49" s="25"/>
      <c r="H49" s="53" t="s">
        <v>145</v>
      </c>
      <c r="J49" s="133">
        <f>+J48*5%</f>
        <v>21590.15</v>
      </c>
      <c r="L49" s="63"/>
    </row>
    <row r="50" spans="1:12" ht="12.75" hidden="1" customHeight="1" x14ac:dyDescent="0.25">
      <c r="A50" s="25"/>
      <c r="B50" s="25"/>
      <c r="C50" s="25"/>
      <c r="D50" s="25"/>
      <c r="E50" s="25"/>
      <c r="F50" s="25"/>
      <c r="H50" s="53" t="s">
        <v>137</v>
      </c>
      <c r="J50" s="133">
        <f>+J48*5%</f>
        <v>21590.15</v>
      </c>
      <c r="L50" s="63"/>
    </row>
    <row r="51" spans="1:12" ht="12.75" hidden="1" customHeight="1" x14ac:dyDescent="0.25">
      <c r="A51" s="25"/>
      <c r="B51" s="25"/>
      <c r="C51" s="25"/>
      <c r="D51" s="25"/>
      <c r="E51" s="25"/>
      <c r="F51" s="25"/>
      <c r="H51" s="53" t="s">
        <v>138</v>
      </c>
      <c r="J51" s="38"/>
      <c r="L51" s="17"/>
    </row>
    <row r="52" spans="1:12" ht="12.75" hidden="1" customHeight="1" x14ac:dyDescent="0.25">
      <c r="A52" s="25"/>
      <c r="B52" s="25"/>
      <c r="C52" s="25"/>
      <c r="D52" s="25"/>
      <c r="E52" s="25"/>
      <c r="F52" s="25"/>
      <c r="H52" s="27"/>
      <c r="J52" s="38"/>
      <c r="L52" s="17"/>
    </row>
    <row r="53" spans="1:12" ht="12.75" hidden="1" customHeight="1" x14ac:dyDescent="0.25">
      <c r="A53" s="25"/>
      <c r="B53" s="25"/>
      <c r="C53" s="25"/>
      <c r="D53" s="25"/>
      <c r="E53" s="25"/>
      <c r="F53" s="25"/>
      <c r="H53" s="27"/>
      <c r="J53" s="27"/>
      <c r="L53" s="17"/>
    </row>
    <row r="54" spans="1:12" ht="12.75" hidden="1" customHeight="1" x14ac:dyDescent="0.25">
      <c r="A54" s="25"/>
      <c r="B54" s="25"/>
      <c r="C54" s="25"/>
      <c r="D54" s="25"/>
      <c r="E54" s="25"/>
      <c r="F54" s="25"/>
      <c r="H54" s="27"/>
      <c r="J54" s="27"/>
      <c r="L54" s="17"/>
    </row>
    <row r="55" spans="1:12" ht="12.75" hidden="1" customHeight="1" x14ac:dyDescent="0.25">
      <c r="A55" s="25"/>
      <c r="B55" s="25"/>
      <c r="C55" s="25"/>
      <c r="D55" s="25"/>
      <c r="E55" s="25"/>
      <c r="F55" s="25"/>
      <c r="H55" s="27"/>
      <c r="J55" s="27"/>
      <c r="L55" s="17"/>
    </row>
    <row r="56" spans="1:12" ht="12.75" hidden="1" customHeight="1" x14ac:dyDescent="0.25">
      <c r="A56" s="25"/>
      <c r="B56" s="25"/>
      <c r="C56" s="25"/>
      <c r="D56" s="25"/>
      <c r="E56" s="25"/>
      <c r="F56" s="25"/>
      <c r="H56" s="27"/>
      <c r="J56" s="27"/>
      <c r="L56" s="17"/>
    </row>
    <row r="57" spans="1:12" ht="12.75" hidden="1" customHeight="1" x14ac:dyDescent="0.25">
      <c r="A57" s="25"/>
      <c r="B57" s="25"/>
      <c r="C57" s="25"/>
      <c r="D57" s="25"/>
      <c r="E57" s="25"/>
      <c r="F57" s="25"/>
      <c r="H57" s="27"/>
      <c r="J57" s="27"/>
      <c r="L57" s="17"/>
    </row>
    <row r="58" spans="1:12" ht="12.75" hidden="1" customHeight="1" x14ac:dyDescent="0.25">
      <c r="A58" s="25"/>
      <c r="B58" s="25"/>
      <c r="C58" s="25"/>
      <c r="D58" s="25"/>
      <c r="E58" s="25"/>
      <c r="F58" s="25"/>
      <c r="H58" s="27"/>
      <c r="J58" s="27"/>
      <c r="L58" s="17"/>
    </row>
    <row r="59" spans="1:12" ht="12.75" hidden="1" customHeight="1" x14ac:dyDescent="0.25">
      <c r="A59" s="25"/>
      <c r="B59" s="25"/>
      <c r="C59" s="25"/>
      <c r="D59" s="25"/>
      <c r="E59" s="25"/>
      <c r="F59" s="25"/>
      <c r="H59" s="27"/>
      <c r="J59" s="27"/>
      <c r="L59" s="17"/>
    </row>
    <row r="60" spans="1:12" ht="12.75" hidden="1" customHeight="1" x14ac:dyDescent="0.25">
      <c r="A60" s="25"/>
      <c r="B60" s="25"/>
      <c r="C60" s="25"/>
      <c r="D60" s="25"/>
      <c r="E60" s="25"/>
      <c r="F60" s="25"/>
      <c r="H60" s="27"/>
      <c r="J60" s="27"/>
      <c r="L60" s="17"/>
    </row>
    <row r="61" spans="1:12" ht="12.75" hidden="1" customHeight="1" x14ac:dyDescent="0.25">
      <c r="A61" s="25"/>
      <c r="B61" s="25"/>
      <c r="C61" s="25"/>
      <c r="D61" s="25"/>
      <c r="E61" s="25"/>
      <c r="F61" s="25"/>
      <c r="H61" s="27"/>
      <c r="J61" s="27"/>
      <c r="L61" s="17"/>
    </row>
    <row r="62" spans="1:12" ht="12.75" hidden="1" customHeight="1" x14ac:dyDescent="0.25">
      <c r="A62" s="25"/>
      <c r="B62" s="25"/>
      <c r="C62" s="25"/>
      <c r="D62" s="25"/>
      <c r="E62" s="25"/>
      <c r="F62" s="25"/>
      <c r="H62" s="27"/>
      <c r="J62" s="27"/>
      <c r="L62" s="17"/>
    </row>
    <row r="63" spans="1:12" ht="12.75" hidden="1" customHeight="1" x14ac:dyDescent="0.25">
      <c r="A63" s="25"/>
      <c r="B63" s="25"/>
      <c r="C63" s="25"/>
      <c r="D63" s="25"/>
      <c r="E63" s="25"/>
      <c r="F63" s="25"/>
      <c r="H63" s="27"/>
      <c r="J63" s="27"/>
      <c r="L63" s="17"/>
    </row>
    <row r="64" spans="1:12" ht="12.75" hidden="1" customHeight="1" x14ac:dyDescent="0.25">
      <c r="A64" s="25"/>
      <c r="B64" s="25"/>
      <c r="C64" s="25"/>
      <c r="D64" s="25"/>
      <c r="E64" s="25"/>
      <c r="F64" s="25"/>
      <c r="H64" s="27"/>
      <c r="J64" s="27"/>
      <c r="L64" s="17"/>
    </row>
    <row r="65" spans="1:12" ht="12.75" hidden="1" customHeight="1" x14ac:dyDescent="0.25">
      <c r="A65" s="25"/>
      <c r="B65" s="25"/>
      <c r="C65" s="25"/>
      <c r="D65" s="25"/>
      <c r="E65" s="25"/>
      <c r="F65" s="25"/>
      <c r="H65" s="27"/>
      <c r="J65" s="27"/>
      <c r="L65" s="17"/>
    </row>
    <row r="66" spans="1:12" ht="12.75" hidden="1" customHeight="1" x14ac:dyDescent="0.25">
      <c r="A66" s="25"/>
      <c r="B66" s="25"/>
      <c r="C66" s="25"/>
      <c r="D66" s="25"/>
      <c r="E66" s="25"/>
      <c r="F66" s="25"/>
      <c r="H66" s="27"/>
      <c r="J66" s="27"/>
      <c r="L66" s="17"/>
    </row>
    <row r="67" spans="1:12" ht="12.75" hidden="1" customHeight="1" x14ac:dyDescent="0.25">
      <c r="A67" s="25"/>
      <c r="B67" s="25"/>
      <c r="C67" s="25"/>
      <c r="D67" s="25"/>
      <c r="E67" s="25"/>
      <c r="F67" s="25"/>
      <c r="H67" s="27"/>
      <c r="J67" s="27"/>
      <c r="L67" s="17"/>
    </row>
    <row r="68" spans="1:12" ht="12.75" hidden="1" customHeight="1" x14ac:dyDescent="0.25">
      <c r="A68" s="25"/>
      <c r="B68" s="25"/>
      <c r="C68" s="25"/>
      <c r="D68" s="25"/>
      <c r="E68" s="25"/>
      <c r="F68" s="25"/>
      <c r="H68" s="27"/>
      <c r="J68" s="27"/>
      <c r="L68" s="17"/>
    </row>
    <row r="69" spans="1:12" ht="12.75" hidden="1" customHeight="1" x14ac:dyDescent="0.25">
      <c r="A69" s="25"/>
      <c r="B69" s="25"/>
      <c r="C69" s="25"/>
      <c r="D69" s="25"/>
      <c r="E69" s="25"/>
      <c r="F69" s="25"/>
      <c r="H69" s="27"/>
      <c r="J69" s="27"/>
      <c r="L69" s="17"/>
    </row>
    <row r="70" spans="1:12" ht="12.75" hidden="1" customHeight="1" x14ac:dyDescent="0.25">
      <c r="A70" s="25"/>
      <c r="B70" s="25"/>
      <c r="C70" s="25"/>
      <c r="D70" s="25"/>
      <c r="E70" s="25"/>
      <c r="F70" s="25"/>
      <c r="H70" s="27"/>
      <c r="J70" s="27"/>
      <c r="L70" s="17"/>
    </row>
    <row r="71" spans="1:12" ht="12.75" hidden="1" customHeight="1" x14ac:dyDescent="0.25">
      <c r="A71" s="25"/>
      <c r="B71" s="25"/>
      <c r="C71" s="25"/>
      <c r="D71" s="25"/>
      <c r="E71" s="25"/>
      <c r="F71" s="25"/>
      <c r="H71" s="27"/>
      <c r="J71" s="27"/>
      <c r="L71" s="17"/>
    </row>
    <row r="72" spans="1:12" ht="12.75" hidden="1" customHeight="1" x14ac:dyDescent="0.25">
      <c r="A72" s="25"/>
      <c r="B72" s="25"/>
      <c r="C72" s="25"/>
      <c r="D72" s="25"/>
      <c r="E72" s="25"/>
      <c r="F72" s="25"/>
      <c r="H72" s="27"/>
      <c r="J72" s="27"/>
      <c r="L72" s="17"/>
    </row>
    <row r="73" spans="1:12" ht="12.75" hidden="1" customHeight="1" x14ac:dyDescent="0.25">
      <c r="A73" s="25"/>
      <c r="B73" s="25"/>
      <c r="C73" s="25"/>
      <c r="D73" s="25"/>
      <c r="E73" s="25"/>
      <c r="F73" s="25"/>
      <c r="H73" s="27"/>
      <c r="J73" s="27"/>
      <c r="L73" s="17"/>
    </row>
    <row r="74" spans="1:12" ht="12.75" hidden="1" customHeight="1" x14ac:dyDescent="0.25">
      <c r="A74" s="25"/>
      <c r="B74" s="25"/>
      <c r="C74" s="25"/>
      <c r="D74" s="25"/>
      <c r="E74" s="25"/>
      <c r="F74" s="25"/>
      <c r="H74" s="27"/>
      <c r="J74" s="27"/>
      <c r="L74" s="17"/>
    </row>
    <row r="75" spans="1:12" ht="12.75" hidden="1" customHeight="1" x14ac:dyDescent="0.25">
      <c r="A75" s="25"/>
      <c r="B75" s="25"/>
      <c r="C75" s="25"/>
      <c r="D75" s="25"/>
      <c r="E75" s="25"/>
      <c r="F75" s="25"/>
      <c r="H75" s="27"/>
      <c r="J75" s="27"/>
      <c r="L75" s="17"/>
    </row>
    <row r="76" spans="1:12" ht="12.75" hidden="1" customHeight="1" x14ac:dyDescent="0.25">
      <c r="A76" s="25"/>
      <c r="B76" s="25"/>
      <c r="C76" s="25"/>
      <c r="D76" s="25"/>
      <c r="E76" s="25"/>
      <c r="F76" s="25"/>
      <c r="H76" s="27"/>
      <c r="J76" s="27"/>
      <c r="L76" s="17"/>
    </row>
    <row r="77" spans="1:12" ht="12.75" hidden="1" customHeight="1" x14ac:dyDescent="0.25">
      <c r="A77" s="25"/>
      <c r="B77" s="25"/>
      <c r="C77" s="25"/>
      <c r="D77" s="25"/>
      <c r="E77" s="25"/>
      <c r="F77" s="25"/>
      <c r="H77" s="27"/>
      <c r="J77" s="27"/>
      <c r="L77" s="17"/>
    </row>
    <row r="78" spans="1:12" ht="12.75" hidden="1" customHeight="1" x14ac:dyDescent="0.25">
      <c r="A78" s="25"/>
      <c r="B78" s="30"/>
      <c r="C78" s="30"/>
      <c r="D78" s="30"/>
      <c r="E78" s="30"/>
      <c r="F78" s="25"/>
      <c r="H78" s="27"/>
      <c r="J78" s="27"/>
      <c r="L78" s="17"/>
    </row>
    <row r="79" spans="1:12" ht="12.75" hidden="1" customHeight="1" x14ac:dyDescent="0.25">
      <c r="A79" s="25"/>
      <c r="B79" s="25"/>
      <c r="C79" s="25"/>
      <c r="D79" s="25"/>
      <c r="E79" s="25"/>
      <c r="F79" s="25"/>
      <c r="H79" s="27"/>
      <c r="J79" s="27"/>
      <c r="L79" s="17"/>
    </row>
    <row r="80" spans="1:12" ht="12.75" hidden="1" customHeight="1" x14ac:dyDescent="0.25">
      <c r="A80" s="25"/>
      <c r="B80" s="25"/>
      <c r="C80" s="25"/>
      <c r="D80" s="25"/>
      <c r="E80" s="25"/>
      <c r="F80" s="25"/>
      <c r="H80" s="27"/>
      <c r="J80" s="27"/>
      <c r="L80" s="17"/>
    </row>
    <row r="81" spans="1:12" ht="12.75" hidden="1" customHeight="1" x14ac:dyDescent="0.25">
      <c r="A81" s="25"/>
      <c r="B81" s="25"/>
      <c r="C81" s="25"/>
      <c r="D81" s="25"/>
      <c r="E81" s="25"/>
      <c r="F81" s="25"/>
      <c r="H81" s="27"/>
      <c r="J81" s="27"/>
      <c r="L81" s="17"/>
    </row>
    <row r="82" spans="1:12" ht="12.75" hidden="1" customHeight="1" x14ac:dyDescent="0.25">
      <c r="A82" s="25"/>
      <c r="B82" s="25"/>
      <c r="C82" s="25"/>
      <c r="D82" s="25"/>
      <c r="E82" s="25"/>
      <c r="F82" s="25"/>
      <c r="H82" s="27"/>
      <c r="J82" s="27"/>
      <c r="L82" s="17"/>
    </row>
    <row r="83" spans="1:12" ht="12.75" hidden="1" customHeight="1" x14ac:dyDescent="0.25">
      <c r="A83" s="25"/>
      <c r="B83" s="25"/>
      <c r="C83" s="25"/>
      <c r="D83" s="25"/>
      <c r="E83" s="25"/>
      <c r="F83" s="25"/>
      <c r="H83" s="27"/>
      <c r="J83" s="27"/>
      <c r="L83" s="17"/>
    </row>
    <row r="84" spans="1:12" ht="12.75" hidden="1" customHeight="1" x14ac:dyDescent="0.25">
      <c r="A84" s="25"/>
      <c r="B84" s="25"/>
      <c r="C84" s="25"/>
      <c r="D84" s="25"/>
      <c r="E84" s="25"/>
      <c r="F84" s="25"/>
      <c r="H84" s="27"/>
      <c r="J84" s="27"/>
      <c r="L84" s="17"/>
    </row>
    <row r="85" spans="1:12" ht="12.75" hidden="1" customHeight="1" x14ac:dyDescent="0.25">
      <c r="A85" s="25"/>
      <c r="B85" s="25"/>
      <c r="C85" s="25"/>
      <c r="D85" s="25"/>
      <c r="E85" s="25"/>
      <c r="F85" s="25"/>
      <c r="H85" s="27"/>
      <c r="J85" s="27"/>
      <c r="L85" s="17"/>
    </row>
    <row r="86" spans="1:12" ht="12.75" hidden="1" customHeight="1" x14ac:dyDescent="0.25">
      <c r="A86" s="25"/>
      <c r="B86" s="25"/>
      <c r="C86" s="25"/>
      <c r="D86" s="25"/>
      <c r="E86" s="25"/>
      <c r="F86" s="25"/>
      <c r="H86" s="27"/>
      <c r="J86" s="27"/>
      <c r="L86" s="17"/>
    </row>
    <row r="87" spans="1:12" ht="12.75" hidden="1" customHeight="1" x14ac:dyDescent="0.25">
      <c r="A87" s="25"/>
      <c r="B87" s="25"/>
      <c r="C87" s="25"/>
      <c r="D87" s="25"/>
      <c r="E87" s="25"/>
      <c r="F87" s="25"/>
      <c r="H87" s="27"/>
      <c r="J87" s="27"/>
      <c r="L87" s="17"/>
    </row>
    <row r="88" spans="1:12" ht="12.75" hidden="1" customHeight="1" x14ac:dyDescent="0.25">
      <c r="A88" s="25"/>
      <c r="B88" s="25"/>
      <c r="C88" s="25"/>
      <c r="D88" s="25"/>
      <c r="E88" s="25"/>
      <c r="F88" s="25"/>
      <c r="H88" s="27"/>
      <c r="J88" s="27"/>
      <c r="L88" s="17"/>
    </row>
    <row r="89" spans="1:12" ht="12.75" hidden="1" customHeight="1" x14ac:dyDescent="0.25">
      <c r="A89" s="25"/>
      <c r="B89" s="25"/>
      <c r="C89" s="25"/>
      <c r="D89" s="25"/>
      <c r="E89" s="25"/>
      <c r="F89" s="25"/>
      <c r="H89" s="27"/>
      <c r="J89" s="27"/>
      <c r="L89" s="17"/>
    </row>
    <row r="90" spans="1:12" ht="12.75" hidden="1" customHeight="1" x14ac:dyDescent="0.25">
      <c r="A90" s="25"/>
      <c r="B90" s="25"/>
      <c r="C90" s="25"/>
      <c r="D90" s="25"/>
      <c r="E90" s="25"/>
      <c r="F90" s="25"/>
      <c r="H90" s="27"/>
      <c r="J90" s="27"/>
      <c r="L90" s="17"/>
    </row>
    <row r="91" spans="1:12" ht="12.75" hidden="1" customHeight="1" x14ac:dyDescent="0.25">
      <c r="A91" s="25"/>
      <c r="B91" s="25"/>
      <c r="C91" s="25"/>
      <c r="D91" s="25"/>
      <c r="E91" s="25"/>
      <c r="F91" s="25"/>
      <c r="H91" s="27"/>
      <c r="J91" s="27"/>
      <c r="L91" s="17"/>
    </row>
    <row r="92" spans="1:12" ht="12.75" hidden="1" customHeight="1" x14ac:dyDescent="0.25">
      <c r="A92" s="25"/>
      <c r="B92" s="30"/>
      <c r="C92" s="30"/>
      <c r="D92" s="30"/>
      <c r="E92" s="30"/>
      <c r="F92" s="25"/>
      <c r="H92" s="27"/>
      <c r="J92" s="27"/>
      <c r="L92" s="17"/>
    </row>
    <row r="93" spans="1:12" ht="12.75" hidden="1" customHeight="1" x14ac:dyDescent="0.25">
      <c r="A93" s="25"/>
      <c r="B93" s="25"/>
      <c r="C93" s="25"/>
      <c r="D93" s="25"/>
      <c r="E93" s="25"/>
      <c r="F93" s="25"/>
      <c r="H93" s="27"/>
      <c r="J93" s="27"/>
      <c r="L93" s="17"/>
    </row>
    <row r="94" spans="1:12" ht="12.75" hidden="1" customHeight="1" x14ac:dyDescent="0.25">
      <c r="A94" s="25"/>
      <c r="B94" s="25"/>
      <c r="C94" s="25"/>
      <c r="D94" s="25"/>
      <c r="E94" s="25"/>
      <c r="F94" s="25"/>
      <c r="H94" s="27"/>
      <c r="J94" s="27"/>
      <c r="L94" s="17"/>
    </row>
    <row r="95" spans="1:12" ht="12.75" hidden="1" customHeight="1" x14ac:dyDescent="0.25">
      <c r="A95" s="25"/>
      <c r="B95" s="25"/>
      <c r="C95" s="25"/>
      <c r="D95" s="25"/>
      <c r="E95" s="25"/>
      <c r="F95" s="25"/>
      <c r="H95" s="27"/>
      <c r="J95" s="27"/>
      <c r="L95" s="17"/>
    </row>
    <row r="96" spans="1:12" ht="12.75" hidden="1" customHeight="1" x14ac:dyDescent="0.25">
      <c r="A96" s="25"/>
      <c r="B96" s="25"/>
      <c r="C96" s="25"/>
      <c r="D96" s="25"/>
      <c r="E96" s="25"/>
      <c r="F96" s="25"/>
      <c r="H96" s="27"/>
      <c r="J96" s="27"/>
      <c r="L96" s="17"/>
    </row>
    <row r="97" spans="1:12" ht="12.75" hidden="1" customHeight="1" x14ac:dyDescent="0.25">
      <c r="A97" s="25"/>
      <c r="B97" s="25"/>
      <c r="C97" s="25"/>
      <c r="D97" s="25"/>
      <c r="E97" s="25"/>
      <c r="F97" s="25"/>
      <c r="H97" s="27"/>
      <c r="J97" s="27"/>
      <c r="L97" s="17"/>
    </row>
    <row r="98" spans="1:12" ht="12.75" hidden="1" customHeight="1" x14ac:dyDescent="0.25">
      <c r="A98" s="25"/>
      <c r="B98" s="25"/>
      <c r="C98" s="25"/>
      <c r="D98" s="25"/>
      <c r="E98" s="25"/>
      <c r="F98" s="25"/>
      <c r="H98" s="27"/>
      <c r="J98" s="27"/>
      <c r="L98" s="17"/>
    </row>
    <row r="99" spans="1:12" ht="12.75" hidden="1" customHeight="1" x14ac:dyDescent="0.25">
      <c r="A99" s="25"/>
      <c r="B99" s="25"/>
      <c r="C99" s="25"/>
      <c r="D99" s="25"/>
      <c r="E99" s="25"/>
      <c r="F99" s="25"/>
      <c r="H99" s="27"/>
      <c r="J99" s="27"/>
      <c r="L99" s="17"/>
    </row>
    <row r="100" spans="1:12" ht="12.75" hidden="1" customHeight="1" x14ac:dyDescent="0.25">
      <c r="A100" s="25"/>
      <c r="B100" s="25"/>
      <c r="C100" s="25"/>
      <c r="D100" s="25"/>
      <c r="E100" s="25"/>
      <c r="F100" s="25"/>
      <c r="H100" s="27"/>
      <c r="J100" s="27"/>
      <c r="L100" s="17"/>
    </row>
    <row r="101" spans="1:12" ht="12.75" hidden="1" customHeight="1" x14ac:dyDescent="0.25">
      <c r="A101" s="25"/>
      <c r="B101" s="25"/>
      <c r="C101" s="25"/>
      <c r="D101" s="25"/>
      <c r="E101" s="25"/>
      <c r="F101" s="25"/>
      <c r="H101" s="27"/>
      <c r="J101" s="27"/>
      <c r="L101" s="17"/>
    </row>
    <row r="102" spans="1:12" ht="12.75" hidden="1" customHeight="1" x14ac:dyDescent="0.25">
      <c r="A102" s="25"/>
      <c r="B102" s="25"/>
      <c r="C102" s="25"/>
      <c r="D102" s="25"/>
      <c r="E102" s="25"/>
      <c r="F102" s="25"/>
      <c r="H102" s="27"/>
      <c r="J102" s="27"/>
      <c r="L102" s="17"/>
    </row>
    <row r="103" spans="1:12" ht="12.75" hidden="1" customHeight="1" x14ac:dyDescent="0.25">
      <c r="A103" s="25"/>
      <c r="B103" s="25"/>
      <c r="C103" s="25"/>
      <c r="D103" s="25"/>
      <c r="E103" s="25"/>
      <c r="F103" s="25"/>
      <c r="H103" s="27"/>
      <c r="J103" s="27"/>
      <c r="L103" s="17"/>
    </row>
    <row r="104" spans="1:12" ht="12.75" hidden="1" customHeight="1" x14ac:dyDescent="0.25">
      <c r="A104" s="25"/>
      <c r="B104" s="25"/>
      <c r="C104" s="25"/>
      <c r="D104" s="25"/>
      <c r="E104" s="25"/>
      <c r="F104" s="25"/>
      <c r="H104" s="27"/>
      <c r="J104" s="27"/>
      <c r="L104" s="17"/>
    </row>
    <row r="105" spans="1:12" ht="12.75" hidden="1" customHeight="1" x14ac:dyDescent="0.25">
      <c r="A105" s="25"/>
      <c r="B105" s="25"/>
      <c r="C105" s="25"/>
      <c r="D105" s="25"/>
      <c r="E105" s="25"/>
      <c r="F105" s="25"/>
      <c r="H105" s="27"/>
      <c r="J105" s="27"/>
      <c r="L105" s="17"/>
    </row>
    <row r="106" spans="1:12" ht="12.75" hidden="1" customHeight="1" x14ac:dyDescent="0.25">
      <c r="A106" s="25"/>
      <c r="B106" s="25"/>
      <c r="C106" s="25"/>
      <c r="D106" s="25"/>
      <c r="E106" s="25"/>
      <c r="F106" s="25"/>
      <c r="H106" s="27"/>
      <c r="J106" s="27"/>
      <c r="L106" s="17"/>
    </row>
    <row r="107" spans="1:12" ht="12.75" hidden="1" customHeight="1" x14ac:dyDescent="0.25">
      <c r="A107" s="25"/>
      <c r="B107" s="25"/>
      <c r="C107" s="25"/>
      <c r="D107" s="25"/>
      <c r="E107" s="25"/>
      <c r="F107" s="25"/>
      <c r="H107" s="27"/>
      <c r="J107" s="27"/>
      <c r="L107" s="17"/>
    </row>
    <row r="108" spans="1:12" ht="12.75" hidden="1" customHeight="1" x14ac:dyDescent="0.25">
      <c r="A108" s="25"/>
      <c r="B108" s="25"/>
      <c r="C108" s="25"/>
      <c r="D108" s="25"/>
      <c r="E108" s="25"/>
      <c r="F108" s="25"/>
      <c r="H108" s="27"/>
      <c r="J108" s="27"/>
      <c r="L108" s="17"/>
    </row>
    <row r="109" spans="1:12" ht="12.75" hidden="1" customHeight="1" x14ac:dyDescent="0.25">
      <c r="A109" s="25"/>
      <c r="B109" s="25"/>
      <c r="C109" s="25"/>
      <c r="D109" s="25"/>
      <c r="E109" s="25"/>
      <c r="F109" s="25"/>
      <c r="H109" s="27"/>
      <c r="J109" s="27"/>
      <c r="L109" s="17"/>
    </row>
    <row r="110" spans="1:12" ht="12.75" hidden="1" customHeight="1" x14ac:dyDescent="0.25">
      <c r="A110" s="25"/>
      <c r="B110" s="25"/>
      <c r="C110" s="25"/>
      <c r="D110" s="25"/>
      <c r="E110" s="25"/>
      <c r="F110" s="25"/>
      <c r="H110" s="27"/>
      <c r="J110" s="27"/>
      <c r="L110" s="17"/>
    </row>
    <row r="111" spans="1:12" ht="12.75" hidden="1" customHeight="1" x14ac:dyDescent="0.25">
      <c r="A111" s="25"/>
      <c r="B111" s="25"/>
      <c r="C111" s="25"/>
      <c r="D111" s="25"/>
      <c r="E111" s="25"/>
      <c r="F111" s="25"/>
      <c r="H111" s="27"/>
      <c r="J111" s="27"/>
      <c r="L111" s="17"/>
    </row>
    <row r="112" spans="1:12" ht="12.75" hidden="1" customHeight="1" x14ac:dyDescent="0.25">
      <c r="A112" s="25"/>
      <c r="B112" s="25"/>
      <c r="C112" s="25"/>
      <c r="D112" s="25"/>
      <c r="E112" s="25"/>
      <c r="F112" s="25"/>
      <c r="H112" s="27"/>
      <c r="J112" s="27"/>
      <c r="L112" s="17"/>
    </row>
    <row r="113" spans="1:12" ht="12.75" hidden="1" customHeight="1" x14ac:dyDescent="0.25">
      <c r="A113" s="25"/>
      <c r="B113" s="30"/>
      <c r="C113" s="30"/>
      <c r="D113" s="30"/>
      <c r="E113" s="30"/>
      <c r="F113" s="25"/>
      <c r="H113" s="27"/>
      <c r="J113" s="27"/>
      <c r="L113" s="17"/>
    </row>
    <row r="114" spans="1:12" ht="12.75" hidden="1" customHeight="1" x14ac:dyDescent="0.25">
      <c r="A114" s="25"/>
      <c r="B114" s="30"/>
      <c r="C114" s="30"/>
      <c r="D114" s="30"/>
      <c r="E114" s="30"/>
      <c r="F114" s="25"/>
      <c r="H114" s="27"/>
      <c r="J114" s="27"/>
      <c r="L114" s="17"/>
    </row>
    <row r="115" spans="1:12" ht="12.75" hidden="1" customHeight="1" x14ac:dyDescent="0.25">
      <c r="A115" s="25"/>
      <c r="B115" s="25"/>
      <c r="C115" s="25"/>
      <c r="D115" s="25"/>
      <c r="E115" s="25"/>
      <c r="F115" s="25"/>
      <c r="H115" s="27"/>
      <c r="J115" s="27"/>
      <c r="L115" s="17"/>
    </row>
    <row r="116" spans="1:12" ht="12.75" hidden="1" customHeight="1" x14ac:dyDescent="0.25">
      <c r="A116" s="25"/>
      <c r="B116" s="25"/>
      <c r="C116" s="25"/>
      <c r="D116" s="25"/>
      <c r="E116" s="25"/>
      <c r="F116" s="25"/>
      <c r="H116" s="27"/>
      <c r="J116" s="27"/>
      <c r="L116" s="17"/>
    </row>
    <row r="117" spans="1:12" ht="12.75" hidden="1" customHeight="1" x14ac:dyDescent="0.25">
      <c r="A117" s="25"/>
      <c r="B117" s="29"/>
      <c r="C117" s="29"/>
      <c r="D117" s="29"/>
      <c r="E117" s="29"/>
      <c r="F117" s="25"/>
      <c r="H117" s="27"/>
      <c r="J117" s="27"/>
      <c r="L117" s="17"/>
    </row>
    <row r="118" spans="1:12" ht="12.75" hidden="1" customHeight="1" x14ac:dyDescent="0.25">
      <c r="A118" s="25"/>
      <c r="B118" s="29"/>
      <c r="C118" s="29"/>
      <c r="D118" s="29"/>
      <c r="E118" s="29"/>
      <c r="F118" s="25"/>
      <c r="H118" s="27"/>
      <c r="J118" s="27"/>
      <c r="L118" s="17"/>
    </row>
    <row r="119" spans="1:12" ht="12.75" hidden="1" customHeight="1" x14ac:dyDescent="0.25">
      <c r="A119" s="25"/>
      <c r="B119" s="25"/>
      <c r="C119" s="25"/>
      <c r="D119" s="25"/>
      <c r="E119" s="25"/>
      <c r="F119" s="25"/>
      <c r="H119" s="27"/>
      <c r="J119" s="27"/>
    </row>
    <row r="120" spans="1:12" ht="12.75" hidden="1" customHeight="1" x14ac:dyDescent="0.25">
      <c r="A120" s="25"/>
      <c r="B120" s="25"/>
      <c r="C120" s="25"/>
      <c r="D120" s="25"/>
      <c r="E120" s="25"/>
      <c r="F120" s="25"/>
      <c r="H120" s="28"/>
      <c r="J120" s="28"/>
    </row>
    <row r="121" spans="1:12" ht="12.75" hidden="1" customHeight="1" x14ac:dyDescent="0.25">
      <c r="A121" s="25"/>
      <c r="B121" s="25"/>
      <c r="C121" s="25"/>
      <c r="D121" s="25"/>
      <c r="E121" s="25"/>
      <c r="F121" s="25"/>
      <c r="H121" s="25"/>
      <c r="J121" s="25"/>
    </row>
    <row r="122" spans="1:12" ht="12.75" hidden="1" customHeight="1" x14ac:dyDescent="0.25">
      <c r="A122" s="25"/>
      <c r="B122" s="25"/>
      <c r="C122" s="25"/>
      <c r="D122" s="25"/>
      <c r="E122" s="25"/>
      <c r="F122" s="25"/>
      <c r="H122" s="25"/>
      <c r="J122" s="25"/>
    </row>
    <row r="123" spans="1:12" ht="12.75" hidden="1" customHeight="1" x14ac:dyDescent="0.25">
      <c r="A123" s="25"/>
      <c r="B123" s="25"/>
      <c r="C123" s="25"/>
      <c r="D123" s="25"/>
      <c r="E123" s="25"/>
      <c r="F123" s="25"/>
      <c r="H123" s="25"/>
      <c r="J123" s="25"/>
    </row>
    <row r="124" spans="1:12" ht="12.75" hidden="1" customHeight="1" x14ac:dyDescent="0.25">
      <c r="A124" s="25"/>
      <c r="B124" s="25"/>
      <c r="C124" s="25"/>
      <c r="D124" s="25"/>
      <c r="E124" s="25"/>
      <c r="F124" s="25"/>
      <c r="H124" s="25"/>
      <c r="J124" s="25"/>
    </row>
    <row r="125" spans="1:12" ht="12.75" hidden="1" customHeight="1" x14ac:dyDescent="0.25">
      <c r="A125" s="25"/>
      <c r="B125" s="25"/>
      <c r="C125" s="25"/>
      <c r="D125" s="25"/>
      <c r="E125" s="25"/>
      <c r="F125" s="25"/>
      <c r="H125" s="25"/>
      <c r="J125" s="25"/>
    </row>
    <row r="126" spans="1:12" ht="12.75" hidden="1" customHeight="1" x14ac:dyDescent="0.25">
      <c r="A126" s="25"/>
      <c r="B126" s="25"/>
      <c r="C126" s="25"/>
      <c r="D126" s="25"/>
      <c r="E126" s="25"/>
      <c r="F126" s="25"/>
      <c r="H126" s="25"/>
      <c r="J126" s="25"/>
    </row>
    <row r="127" spans="1:12" ht="12.75" hidden="1" customHeight="1" x14ac:dyDescent="0.25">
      <c r="A127" s="25"/>
      <c r="B127" s="25"/>
      <c r="C127" s="25"/>
      <c r="D127" s="25"/>
      <c r="E127" s="25"/>
      <c r="F127" s="25"/>
      <c r="H127" s="25"/>
      <c r="J127" s="25"/>
    </row>
    <row r="128" spans="1:12" ht="12.75" hidden="1" customHeight="1" x14ac:dyDescent="0.25">
      <c r="A128" s="25"/>
      <c r="B128" s="25"/>
      <c r="C128" s="25"/>
      <c r="D128" s="25"/>
      <c r="E128" s="25"/>
      <c r="F128" s="25"/>
      <c r="H128" s="25"/>
      <c r="J128" s="25"/>
    </row>
    <row r="129" spans="1:10" ht="12.75" hidden="1" customHeight="1" x14ac:dyDescent="0.25">
      <c r="A129" s="25"/>
      <c r="B129" s="25"/>
      <c r="C129" s="25"/>
      <c r="D129" s="25"/>
      <c r="E129" s="25"/>
      <c r="F129" s="25"/>
      <c r="H129" s="25"/>
      <c r="J129" s="25"/>
    </row>
    <row r="130" spans="1:10" ht="12.75" hidden="1" customHeight="1" x14ac:dyDescent="0.25">
      <c r="A130" s="25"/>
      <c r="B130" s="25"/>
      <c r="C130" s="25"/>
      <c r="D130" s="25"/>
      <c r="E130" s="25"/>
      <c r="F130" s="25"/>
      <c r="H130" s="25"/>
      <c r="J130" s="25"/>
    </row>
    <row r="131" spans="1:10" ht="12.75" hidden="1" customHeight="1" x14ac:dyDescent="0.25">
      <c r="A131" s="25"/>
      <c r="B131" s="25"/>
      <c r="C131" s="25"/>
      <c r="D131" s="25"/>
      <c r="E131" s="25"/>
      <c r="F131" s="25"/>
      <c r="H131" s="25"/>
      <c r="J131" s="25"/>
    </row>
    <row r="132" spans="1:10" ht="12.75" hidden="1" customHeight="1" x14ac:dyDescent="0.25">
      <c r="A132" s="25"/>
      <c r="B132" s="25"/>
      <c r="C132" s="25"/>
      <c r="D132" s="25"/>
      <c r="E132" s="25"/>
      <c r="F132" s="25"/>
      <c r="H132" s="25"/>
      <c r="J132" s="25"/>
    </row>
    <row r="133" spans="1:10" ht="12.75" hidden="1" customHeight="1" x14ac:dyDescent="0.25">
      <c r="A133" s="25"/>
      <c r="B133" s="25"/>
      <c r="C133" s="25"/>
      <c r="D133" s="25"/>
      <c r="E133" s="25"/>
      <c r="F133" s="25"/>
      <c r="H133" s="25"/>
      <c r="J133" s="25"/>
    </row>
    <row r="134" spans="1:10" ht="12.75" hidden="1" customHeight="1" x14ac:dyDescent="0.25">
      <c r="A134" s="25"/>
      <c r="B134" s="25"/>
      <c r="C134" s="25"/>
      <c r="D134" s="25"/>
      <c r="E134" s="25"/>
      <c r="F134" s="25"/>
      <c r="H134" s="25"/>
      <c r="J134" s="25"/>
    </row>
    <row r="135" spans="1:10" ht="12.75" hidden="1" customHeight="1" x14ac:dyDescent="0.25">
      <c r="A135" s="25"/>
      <c r="B135" s="25"/>
      <c r="C135" s="25"/>
      <c r="D135" s="25"/>
      <c r="E135" s="25"/>
      <c r="F135" s="25"/>
      <c r="H135" s="25"/>
      <c r="J135" s="25"/>
    </row>
    <row r="136" spans="1:10" ht="12.75" hidden="1" customHeight="1" x14ac:dyDescent="0.25">
      <c r="A136" s="25"/>
      <c r="B136" s="25"/>
      <c r="C136" s="25"/>
      <c r="D136" s="25"/>
      <c r="E136" s="25"/>
      <c r="F136" s="25"/>
      <c r="H136" s="25"/>
      <c r="J136" s="25"/>
    </row>
    <row r="137" spans="1:10" ht="12.75" hidden="1" customHeight="1" x14ac:dyDescent="0.25">
      <c r="A137" s="25"/>
      <c r="B137" s="25"/>
      <c r="C137" s="25"/>
      <c r="D137" s="25"/>
      <c r="E137" s="25"/>
      <c r="F137" s="25"/>
      <c r="H137" s="25"/>
      <c r="J137" s="25"/>
    </row>
    <row r="138" spans="1:10" ht="12.75" hidden="1" customHeight="1" x14ac:dyDescent="0.25">
      <c r="A138" s="25"/>
      <c r="B138" s="25"/>
      <c r="C138" s="25"/>
      <c r="D138" s="25"/>
      <c r="E138" s="25"/>
      <c r="F138" s="25"/>
      <c r="H138" s="25"/>
      <c r="J138" s="25"/>
    </row>
    <row r="139" spans="1:10" ht="12.75" hidden="1" customHeight="1" x14ac:dyDescent="0.25">
      <c r="A139" s="25"/>
      <c r="B139" s="25"/>
      <c r="C139" s="25"/>
      <c r="D139" s="25"/>
      <c r="E139" s="25"/>
      <c r="F139" s="25"/>
      <c r="H139" s="25"/>
      <c r="J139" s="25"/>
    </row>
    <row r="140" spans="1:10" ht="12.75" hidden="1" customHeight="1" x14ac:dyDescent="0.25">
      <c r="A140" s="25"/>
      <c r="B140" s="25"/>
      <c r="C140" s="25"/>
      <c r="D140" s="25"/>
      <c r="E140" s="25"/>
      <c r="F140" s="25"/>
      <c r="H140" s="25"/>
      <c r="J140" s="25"/>
    </row>
    <row r="141" spans="1:10" ht="12.75" hidden="1" customHeight="1" x14ac:dyDescent="0.25">
      <c r="A141" s="25"/>
      <c r="B141" s="25"/>
      <c r="C141" s="25"/>
      <c r="D141" s="25"/>
      <c r="E141" s="25"/>
      <c r="F141" s="25"/>
      <c r="H141" s="25"/>
      <c r="J141" s="25"/>
    </row>
    <row r="142" spans="1:10" ht="12.75" hidden="1" customHeight="1" x14ac:dyDescent="0.25">
      <c r="A142" s="25"/>
      <c r="B142" s="25"/>
      <c r="C142" s="25"/>
      <c r="D142" s="25"/>
      <c r="E142" s="25"/>
      <c r="F142" s="25"/>
      <c r="H142" s="25"/>
      <c r="J142" s="25"/>
    </row>
    <row r="143" spans="1:10" ht="12.75" hidden="1" customHeight="1" x14ac:dyDescent="0.25">
      <c r="A143" s="25"/>
      <c r="B143" s="25"/>
      <c r="C143" s="25"/>
      <c r="D143" s="25"/>
      <c r="E143" s="25"/>
      <c r="F143" s="25"/>
      <c r="H143" s="25"/>
      <c r="J143" s="25"/>
    </row>
    <row r="144" spans="1:10" ht="12.75" hidden="1" customHeight="1" x14ac:dyDescent="0.25">
      <c r="A144" s="25"/>
      <c r="B144" s="25"/>
      <c r="C144" s="25"/>
      <c r="D144" s="25"/>
      <c r="E144" s="25"/>
      <c r="F144" s="25"/>
      <c r="H144" s="25"/>
      <c r="J144" s="25"/>
    </row>
    <row r="145" spans="1:10" ht="12.75" hidden="1" customHeight="1" x14ac:dyDescent="0.25">
      <c r="A145" s="25"/>
      <c r="B145" s="25"/>
      <c r="C145" s="25"/>
      <c r="D145" s="25"/>
      <c r="E145" s="25"/>
      <c r="F145" s="25"/>
      <c r="H145" s="25"/>
      <c r="J145" s="25"/>
    </row>
    <row r="146" spans="1:10" ht="12.75" hidden="1" customHeight="1" x14ac:dyDescent="0.25">
      <c r="A146" s="25"/>
      <c r="B146" s="25"/>
      <c r="C146" s="25"/>
      <c r="D146" s="25"/>
      <c r="E146" s="25"/>
      <c r="F146" s="25"/>
      <c r="H146" s="25"/>
      <c r="J146" s="25"/>
    </row>
    <row r="147" spans="1:10" ht="12.75" hidden="1" customHeight="1" x14ac:dyDescent="0.25">
      <c r="A147" s="25"/>
      <c r="B147" s="25"/>
      <c r="C147" s="25"/>
      <c r="D147" s="25"/>
      <c r="E147" s="25"/>
      <c r="F147" s="25"/>
      <c r="H147" s="25"/>
      <c r="J147" s="25"/>
    </row>
    <row r="148" spans="1:10" ht="12.75" hidden="1" customHeight="1" x14ac:dyDescent="0.25">
      <c r="A148" s="25"/>
      <c r="B148" s="25"/>
      <c r="C148" s="25"/>
      <c r="D148" s="25"/>
      <c r="E148" s="25"/>
      <c r="F148" s="25"/>
      <c r="H148" s="25"/>
      <c r="J148" s="25"/>
    </row>
    <row r="149" spans="1:10" ht="12.75" hidden="1" customHeight="1" x14ac:dyDescent="0.25">
      <c r="A149" s="25"/>
      <c r="B149" s="25"/>
      <c r="C149" s="25"/>
      <c r="D149" s="25"/>
      <c r="E149" s="25"/>
      <c r="F149" s="25"/>
      <c r="H149" s="25"/>
      <c r="J149" s="25"/>
    </row>
    <row r="150" spans="1:10" ht="12.75" hidden="1" customHeight="1" x14ac:dyDescent="0.25">
      <c r="A150" s="25"/>
      <c r="B150" s="25"/>
      <c r="C150" s="25"/>
      <c r="D150" s="25"/>
      <c r="E150" s="25"/>
      <c r="F150" s="25"/>
      <c r="H150" s="25"/>
      <c r="J150" s="25"/>
    </row>
    <row r="151" spans="1:10" ht="12.75" hidden="1" customHeight="1" x14ac:dyDescent="0.25">
      <c r="A151" s="25"/>
      <c r="B151" s="25"/>
      <c r="C151" s="25"/>
      <c r="D151" s="25"/>
      <c r="E151" s="25"/>
      <c r="F151" s="25"/>
      <c r="H151" s="25"/>
      <c r="J151" s="25"/>
    </row>
    <row r="152" spans="1:10" ht="12.75" hidden="1" customHeight="1" x14ac:dyDescent="0.25">
      <c r="A152" s="25"/>
      <c r="B152" s="25"/>
      <c r="C152" s="25"/>
      <c r="D152" s="25"/>
      <c r="E152" s="25"/>
      <c r="F152" s="25"/>
      <c r="H152" s="25"/>
      <c r="J152" s="25"/>
    </row>
    <row r="153" spans="1:10" ht="12.75" hidden="1" customHeight="1" x14ac:dyDescent="0.25">
      <c r="A153" s="25"/>
      <c r="B153" s="25"/>
      <c r="C153" s="25"/>
      <c r="D153" s="25"/>
      <c r="E153" s="25"/>
      <c r="F153" s="25"/>
      <c r="H153" s="25"/>
      <c r="J153" s="25"/>
    </row>
    <row r="154" spans="1:10" ht="12.75" hidden="1" customHeight="1" x14ac:dyDescent="0.25">
      <c r="A154" s="25"/>
      <c r="B154" s="25"/>
      <c r="C154" s="25"/>
      <c r="D154" s="25"/>
      <c r="E154" s="25"/>
      <c r="F154" s="25"/>
      <c r="H154" s="25"/>
      <c r="J154" s="25"/>
    </row>
    <row r="155" spans="1:10" ht="12.75" hidden="1" customHeight="1" x14ac:dyDescent="0.25">
      <c r="A155" s="25"/>
      <c r="B155" s="25"/>
      <c r="C155" s="25"/>
      <c r="D155" s="25"/>
      <c r="E155" s="25"/>
      <c r="F155" s="25"/>
      <c r="H155" s="25"/>
      <c r="J155" s="25"/>
    </row>
    <row r="156" spans="1:10" ht="12.75" hidden="1" customHeight="1" x14ac:dyDescent="0.25">
      <c r="A156" s="25"/>
      <c r="B156" s="25"/>
      <c r="C156" s="25"/>
      <c r="D156" s="25"/>
      <c r="E156" s="25"/>
      <c r="F156" s="25"/>
      <c r="H156" s="25"/>
      <c r="J156" s="25"/>
    </row>
    <row r="157" spans="1:10" ht="12.75" hidden="1" customHeight="1" x14ac:dyDescent="0.25">
      <c r="A157" s="25"/>
      <c r="B157" s="25"/>
      <c r="C157" s="25"/>
      <c r="D157" s="25"/>
      <c r="E157" s="25"/>
      <c r="F157" s="25"/>
      <c r="H157" s="25"/>
      <c r="J157" s="25"/>
    </row>
    <row r="158" spans="1:10" ht="12.75" hidden="1" customHeight="1" x14ac:dyDescent="0.25">
      <c r="A158" s="25"/>
      <c r="B158" s="25"/>
      <c r="C158" s="25"/>
      <c r="D158" s="25"/>
      <c r="E158" s="25"/>
      <c r="F158" s="25"/>
      <c r="H158" s="25"/>
      <c r="J158" s="25"/>
    </row>
    <row r="159" spans="1:10" ht="12.75" hidden="1" customHeight="1" x14ac:dyDescent="0.25">
      <c r="A159" s="25"/>
      <c r="B159" s="25"/>
      <c r="C159" s="25"/>
      <c r="D159" s="25"/>
      <c r="E159" s="25"/>
      <c r="F159" s="25"/>
      <c r="H159" s="25"/>
      <c r="J159" s="25"/>
    </row>
    <row r="160" spans="1:10" ht="12.75" hidden="1" customHeight="1" x14ac:dyDescent="0.25">
      <c r="A160" s="25"/>
      <c r="B160" s="25"/>
      <c r="C160" s="25"/>
      <c r="D160" s="25"/>
      <c r="E160" s="25"/>
      <c r="F160" s="25"/>
      <c r="H160" s="25"/>
      <c r="J160" s="25"/>
    </row>
    <row r="161" spans="1:10" ht="12.75" hidden="1" customHeight="1" x14ac:dyDescent="0.25">
      <c r="A161" s="25"/>
      <c r="B161" s="25"/>
      <c r="C161" s="25"/>
      <c r="D161" s="25"/>
      <c r="E161" s="25"/>
      <c r="F161" s="25"/>
      <c r="H161" s="25"/>
      <c r="J161" s="25"/>
    </row>
    <row r="162" spans="1:10" ht="12.75" hidden="1" customHeight="1" x14ac:dyDescent="0.25">
      <c r="A162" s="25"/>
      <c r="B162" s="25"/>
      <c r="C162" s="25"/>
      <c r="D162" s="25"/>
      <c r="E162" s="25"/>
      <c r="F162" s="25"/>
      <c r="H162" s="25"/>
      <c r="J162" s="25"/>
    </row>
    <row r="163" spans="1:10" ht="12.75" hidden="1" customHeight="1" x14ac:dyDescent="0.25">
      <c r="A163" s="25"/>
      <c r="B163" s="25"/>
      <c r="C163" s="25"/>
      <c r="D163" s="25"/>
      <c r="E163" s="25"/>
      <c r="F163" s="25"/>
      <c r="H163" s="25"/>
      <c r="J163" s="25"/>
    </row>
    <row r="164" spans="1:10" ht="12.75" hidden="1" customHeight="1" x14ac:dyDescent="0.25">
      <c r="A164" s="25"/>
      <c r="B164" s="25"/>
      <c r="C164" s="25"/>
      <c r="D164" s="25"/>
      <c r="E164" s="25"/>
      <c r="F164" s="25"/>
      <c r="H164" s="25"/>
      <c r="J164" s="25"/>
    </row>
    <row r="165" spans="1:10" ht="12.75" hidden="1" customHeight="1" x14ac:dyDescent="0.25">
      <c r="A165" s="25"/>
      <c r="B165" s="25"/>
      <c r="C165" s="25"/>
      <c r="D165" s="25"/>
      <c r="E165" s="25"/>
      <c r="F165" s="25"/>
      <c r="H165" s="25"/>
      <c r="J165" s="25"/>
    </row>
    <row r="166" spans="1:10" ht="12.75" hidden="1" customHeight="1" x14ac:dyDescent="0.25">
      <c r="A166" s="25"/>
      <c r="B166" s="25"/>
      <c r="C166" s="25"/>
      <c r="D166" s="25"/>
      <c r="E166" s="25"/>
      <c r="F166" s="25"/>
      <c r="H166" s="25"/>
      <c r="J166" s="25"/>
    </row>
    <row r="167" spans="1:10" ht="12.75" hidden="1" customHeight="1" x14ac:dyDescent="0.25">
      <c r="A167" s="25"/>
      <c r="B167" s="25"/>
      <c r="C167" s="25"/>
      <c r="D167" s="25"/>
      <c r="E167" s="25"/>
      <c r="F167" s="25"/>
      <c r="H167" s="25"/>
      <c r="J167" s="25"/>
    </row>
    <row r="168" spans="1:10" ht="12.75" hidden="1" customHeight="1" x14ac:dyDescent="0.25">
      <c r="A168" s="25"/>
      <c r="B168" s="25"/>
      <c r="C168" s="25"/>
      <c r="D168" s="25"/>
      <c r="E168" s="25"/>
      <c r="F168" s="25"/>
      <c r="H168" s="25"/>
      <c r="J168" s="25"/>
    </row>
    <row r="169" spans="1:10" ht="12.75" hidden="1" customHeight="1" x14ac:dyDescent="0.25">
      <c r="A169" s="25"/>
      <c r="B169" s="25"/>
      <c r="C169" s="25"/>
      <c r="D169" s="25"/>
      <c r="E169" s="25"/>
      <c r="F169" s="25"/>
      <c r="H169" s="25"/>
      <c r="J169" s="25"/>
    </row>
    <row r="170" spans="1:10" ht="12.75" hidden="1" customHeight="1" x14ac:dyDescent="0.25">
      <c r="A170" s="25"/>
      <c r="B170" s="25"/>
      <c r="C170" s="25"/>
      <c r="D170" s="25"/>
      <c r="E170" s="25"/>
      <c r="F170" s="25"/>
      <c r="H170" s="25"/>
      <c r="J170" s="25"/>
    </row>
    <row r="171" spans="1:10" ht="12.75" hidden="1" customHeight="1" x14ac:dyDescent="0.25">
      <c r="A171" s="25"/>
      <c r="B171" s="25"/>
      <c r="C171" s="25"/>
      <c r="D171" s="25"/>
      <c r="E171" s="25"/>
      <c r="F171" s="25"/>
      <c r="H171" s="25"/>
      <c r="J171" s="25"/>
    </row>
    <row r="172" spans="1:10" ht="12.75" hidden="1" customHeight="1" x14ac:dyDescent="0.25">
      <c r="A172" s="25"/>
      <c r="B172" s="25"/>
      <c r="C172" s="25"/>
      <c r="D172" s="25"/>
      <c r="E172" s="25"/>
      <c r="F172" s="25"/>
      <c r="H172" s="25"/>
      <c r="J172" s="25"/>
    </row>
    <row r="173" spans="1:10" ht="12.75" hidden="1" customHeight="1" x14ac:dyDescent="0.25">
      <c r="A173" s="25"/>
      <c r="B173" s="25"/>
      <c r="C173" s="25"/>
      <c r="D173" s="25"/>
      <c r="E173" s="25"/>
      <c r="F173" s="25"/>
      <c r="H173" s="25"/>
      <c r="J173" s="25"/>
    </row>
    <row r="174" spans="1:10" ht="12.75" hidden="1" customHeight="1" x14ac:dyDescent="0.25">
      <c r="A174" s="25"/>
      <c r="B174" s="25"/>
      <c r="C174" s="25"/>
      <c r="D174" s="25"/>
      <c r="E174" s="25"/>
      <c r="F174" s="25"/>
      <c r="H174" s="25"/>
      <c r="J174" s="25"/>
    </row>
    <row r="175" spans="1:10" ht="12.75" hidden="1" customHeight="1" x14ac:dyDescent="0.25">
      <c r="A175" s="25"/>
      <c r="B175" s="25"/>
      <c r="C175" s="25"/>
      <c r="D175" s="25"/>
      <c r="E175" s="25"/>
      <c r="F175" s="25"/>
      <c r="H175" s="25"/>
      <c r="J175" s="25"/>
    </row>
    <row r="176" spans="1:10" ht="12.75" hidden="1" customHeight="1" x14ac:dyDescent="0.25">
      <c r="A176" s="25"/>
      <c r="B176" s="25"/>
      <c r="C176" s="25"/>
      <c r="D176" s="25"/>
      <c r="E176" s="25"/>
      <c r="F176" s="25"/>
      <c r="H176" s="25"/>
      <c r="J176" s="25"/>
    </row>
    <row r="177" spans="1:10" ht="12.75" hidden="1" customHeight="1" x14ac:dyDescent="0.25">
      <c r="A177" s="25"/>
      <c r="B177" s="25"/>
      <c r="C177" s="25"/>
      <c r="D177" s="25"/>
      <c r="E177" s="25"/>
      <c r="F177" s="25"/>
      <c r="H177" s="25"/>
      <c r="J177" s="25"/>
    </row>
    <row r="178" spans="1:10" ht="12.75" hidden="1" customHeight="1" x14ac:dyDescent="0.25">
      <c r="A178" s="25"/>
      <c r="B178" s="25"/>
      <c r="C178" s="25"/>
      <c r="D178" s="25"/>
      <c r="E178" s="25"/>
      <c r="F178" s="25"/>
      <c r="H178" s="25"/>
      <c r="J178" s="25"/>
    </row>
    <row r="179" spans="1:10" ht="12.75" hidden="1" customHeight="1" x14ac:dyDescent="0.25">
      <c r="A179" s="25"/>
      <c r="B179" s="25"/>
      <c r="C179" s="25"/>
      <c r="D179" s="25"/>
      <c r="E179" s="25"/>
      <c r="F179" s="25"/>
      <c r="H179" s="25"/>
      <c r="J179" s="25"/>
    </row>
    <row r="180" spans="1:10" ht="12.75" hidden="1" customHeight="1" x14ac:dyDescent="0.25">
      <c r="A180" s="25"/>
      <c r="B180" s="25"/>
      <c r="C180" s="25"/>
      <c r="D180" s="25"/>
      <c r="E180" s="25"/>
      <c r="F180" s="25"/>
      <c r="H180" s="25"/>
      <c r="J180" s="25"/>
    </row>
    <row r="181" spans="1:10" ht="12.75" hidden="1" customHeight="1" x14ac:dyDescent="0.25">
      <c r="A181" s="25"/>
      <c r="B181" s="25"/>
      <c r="C181" s="25"/>
      <c r="D181" s="25"/>
      <c r="E181" s="25"/>
      <c r="F181" s="25"/>
      <c r="H181" s="25"/>
      <c r="J181" s="25"/>
    </row>
    <row r="182" spans="1:10" ht="12.75" hidden="1" customHeight="1" x14ac:dyDescent="0.25">
      <c r="A182" s="25"/>
      <c r="B182" s="25"/>
      <c r="C182" s="25"/>
      <c r="D182" s="25"/>
      <c r="E182" s="25"/>
      <c r="F182" s="25"/>
      <c r="H182" s="25"/>
      <c r="J182" s="25"/>
    </row>
    <row r="183" spans="1:10" ht="12.75" hidden="1" customHeight="1" x14ac:dyDescent="0.25">
      <c r="A183" s="25"/>
      <c r="B183" s="25"/>
      <c r="C183" s="25"/>
      <c r="D183" s="25"/>
      <c r="E183" s="25"/>
      <c r="F183" s="25"/>
      <c r="H183" s="25"/>
      <c r="J183" s="25"/>
    </row>
    <row r="184" spans="1:10" ht="12.75" hidden="1" customHeight="1" x14ac:dyDescent="0.25">
      <c r="A184" s="25"/>
      <c r="B184" s="25"/>
      <c r="C184" s="25"/>
      <c r="D184" s="25"/>
      <c r="E184" s="25"/>
      <c r="F184" s="25"/>
      <c r="H184" s="25"/>
      <c r="J184" s="25"/>
    </row>
    <row r="185" spans="1:10" ht="12.75" hidden="1" customHeight="1" x14ac:dyDescent="0.25">
      <c r="A185" s="25"/>
      <c r="B185" s="25"/>
      <c r="C185" s="25"/>
      <c r="D185" s="25"/>
      <c r="E185" s="25"/>
      <c r="F185" s="25"/>
      <c r="H185" s="25"/>
      <c r="J185" s="25"/>
    </row>
    <row r="186" spans="1:10" ht="12.75" hidden="1" customHeight="1" x14ac:dyDescent="0.25">
      <c r="A186" s="25"/>
      <c r="B186" s="25"/>
      <c r="C186" s="25"/>
      <c r="D186" s="25"/>
      <c r="E186" s="25"/>
      <c r="F186" s="25"/>
      <c r="H186" s="25"/>
      <c r="J186" s="25"/>
    </row>
    <row r="187" spans="1:10" ht="12.75" hidden="1" customHeight="1" x14ac:dyDescent="0.25">
      <c r="A187" s="25"/>
      <c r="B187" s="25"/>
      <c r="C187" s="25"/>
      <c r="D187" s="25"/>
      <c r="E187" s="25"/>
      <c r="F187" s="25"/>
      <c r="H187" s="25"/>
      <c r="J187" s="25"/>
    </row>
    <row r="188" spans="1:10" ht="12.75" hidden="1" customHeight="1" x14ac:dyDescent="0.25">
      <c r="A188" s="25"/>
      <c r="B188" s="25"/>
      <c r="C188" s="25"/>
      <c r="D188" s="25"/>
      <c r="E188" s="25"/>
      <c r="F188" s="25"/>
      <c r="H188" s="25"/>
      <c r="J188" s="25"/>
    </row>
    <row r="189" spans="1:10" ht="12.75" hidden="1" customHeight="1" x14ac:dyDescent="0.25">
      <c r="A189" s="25"/>
      <c r="B189" s="25"/>
      <c r="C189" s="25"/>
      <c r="D189" s="25"/>
      <c r="E189" s="25"/>
      <c r="F189" s="25"/>
      <c r="H189" s="25"/>
      <c r="J189" s="25"/>
    </row>
    <row r="190" spans="1:10" ht="12.75" hidden="1" customHeight="1" x14ac:dyDescent="0.25">
      <c r="A190" s="25"/>
      <c r="B190" s="25"/>
      <c r="C190" s="25"/>
      <c r="D190" s="25"/>
      <c r="E190" s="25"/>
      <c r="F190" s="25"/>
      <c r="H190" s="25"/>
      <c r="J190" s="25"/>
    </row>
    <row r="191" spans="1:10" ht="12.75" customHeight="1" x14ac:dyDescent="0.25">
      <c r="H191" s="25"/>
      <c r="J191" s="25"/>
    </row>
    <row r="198" spans="10:10" ht="12.75" customHeight="1" x14ac:dyDescent="0.25">
      <c r="J198" s="51"/>
    </row>
  </sheetData>
  <sheetProtection algorithmName="SHA-512" hashValue="zJqFYTrB624kJX9Grid/blWAsMGPLZvA9x2GhRgl99ZtgHbnS0cNXcmtDTKdGGQy7vfbmtA3Qd6UelG5HRJTSQ==" saltValue="5VgbEU+gnNLDPEKMxnsurQ==" spinCount="100000" sheet="1" objects="1" scenarios="1"/>
  <autoFilter ref="M1:M190" xr:uid="{00000000-0009-0000-0000-000002000000}">
    <filterColumn colId="0">
      <customFilters>
        <customFilter operator="notEqual" val=" "/>
      </customFilters>
    </filterColumn>
  </autoFilter>
  <mergeCells count="2">
    <mergeCell ref="B1:F1"/>
    <mergeCell ref="B2:F2"/>
  </mergeCells>
  <phoneticPr fontId="0" type="noConversion"/>
  <printOptions horizontalCentered="1"/>
  <pageMargins left="0" right="0" top="0.5" bottom="0.2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W156"/>
  <sheetViews>
    <sheetView topLeftCell="B1" zoomScaleNormal="100" workbookViewId="0">
      <selection activeCell="B1" sqref="B1:G1"/>
    </sheetView>
  </sheetViews>
  <sheetFormatPr defaultColWidth="9.109375" defaultRowHeight="13.2" x14ac:dyDescent="0.25"/>
  <cols>
    <col min="1" max="1" width="6.6640625" style="1" hidden="1" customWidth="1"/>
    <col min="2" max="2" width="4" style="1" bestFit="1" customWidth="1"/>
    <col min="3" max="3" width="5" style="1" customWidth="1"/>
    <col min="4" max="4" width="5" style="1" bestFit="1" customWidth="1"/>
    <col min="5" max="5" width="4" style="1" bestFit="1" customWidth="1"/>
    <col min="6" max="6" width="30.109375" style="1" customWidth="1"/>
    <col min="7" max="7" width="11" style="1" hidden="1" customWidth="1"/>
    <col min="8" max="8" width="0.88671875" style="1" hidden="1" customWidth="1"/>
    <col min="9" max="9" width="11.109375" style="1" hidden="1" customWidth="1"/>
    <col min="10" max="10" width="0.88671875" style="1" customWidth="1"/>
    <col min="11" max="11" width="11" style="1" customWidth="1"/>
    <col min="12" max="12" width="0.88671875" style="1" customWidth="1"/>
    <col min="13" max="13" width="11" style="1" customWidth="1"/>
    <col min="14" max="14" width="0.88671875" style="1" customWidth="1"/>
    <col min="15" max="15" width="29.6640625" style="1" bestFit="1" customWidth="1"/>
    <col min="16" max="16" width="9.109375" style="1" hidden="1" customWidth="1"/>
    <col min="17" max="17" width="3.109375" style="1" hidden="1" customWidth="1"/>
    <col min="18" max="18" width="3.88671875" style="1" hidden="1" customWidth="1"/>
    <col min="19" max="19" width="3.88671875" style="1" bestFit="1" customWidth="1"/>
    <col min="20" max="20" width="3.109375" style="1" bestFit="1" customWidth="1"/>
    <col min="21" max="21" width="24.44140625" style="1" bestFit="1" customWidth="1"/>
    <col min="22" max="22" width="6.77734375" style="1" bestFit="1" customWidth="1"/>
    <col min="23" max="16384" width="9.109375" style="1"/>
  </cols>
  <sheetData>
    <row r="1" spans="1:23" x14ac:dyDescent="0.25">
      <c r="B1" s="166" t="str">
        <f>Budget!B1</f>
        <v>CHAUTAUQUA LEARN &amp; SERVE CHARTER SCHOOL</v>
      </c>
      <c r="C1" s="166"/>
      <c r="D1" s="166"/>
      <c r="E1" s="166"/>
      <c r="F1" s="166"/>
      <c r="G1" s="166"/>
      <c r="P1" s="1" t="s">
        <v>65</v>
      </c>
    </row>
    <row r="2" spans="1:23" x14ac:dyDescent="0.25">
      <c r="B2" s="166" t="s">
        <v>84</v>
      </c>
      <c r="C2" s="166"/>
      <c r="D2" s="166"/>
      <c r="E2" s="166"/>
      <c r="F2" s="166"/>
      <c r="G2" s="166"/>
      <c r="P2" s="1" t="s">
        <v>65</v>
      </c>
    </row>
    <row r="3" spans="1:23" hidden="1" x14ac:dyDescent="0.25">
      <c r="P3" s="1" t="s">
        <v>57</v>
      </c>
    </row>
    <row r="4" spans="1:23" hidden="1" x14ac:dyDescent="0.25">
      <c r="I4" s="14"/>
      <c r="P4" s="1" t="s">
        <v>57</v>
      </c>
    </row>
    <row r="5" spans="1:23" hidden="1" x14ac:dyDescent="0.25">
      <c r="G5" s="14"/>
      <c r="I5" s="14"/>
      <c r="M5" s="14"/>
      <c r="P5" s="1" t="s">
        <v>57</v>
      </c>
    </row>
    <row r="6" spans="1:23" x14ac:dyDescent="0.25">
      <c r="G6" s="14" t="s">
        <v>74</v>
      </c>
      <c r="I6" s="14" t="s">
        <v>74</v>
      </c>
      <c r="K6" s="56" t="s">
        <v>74</v>
      </c>
      <c r="M6" s="56" t="s">
        <v>78</v>
      </c>
      <c r="P6" s="1" t="s">
        <v>65</v>
      </c>
      <c r="Q6" s="73"/>
    </row>
    <row r="7" spans="1:23" s="4" customFormat="1" ht="12.75" customHeight="1" x14ac:dyDescent="0.25">
      <c r="G7" s="14" t="s">
        <v>71</v>
      </c>
      <c r="I7" s="14" t="s">
        <v>73</v>
      </c>
      <c r="K7" s="15" t="s">
        <v>183</v>
      </c>
      <c r="M7" s="15" t="s">
        <v>187</v>
      </c>
      <c r="O7" s="15" t="s">
        <v>48</v>
      </c>
      <c r="P7" s="1" t="s">
        <v>65</v>
      </c>
      <c r="Q7" s="73"/>
    </row>
    <row r="8" spans="1:23" x14ac:dyDescent="0.25">
      <c r="A8" s="25"/>
      <c r="B8" s="33"/>
      <c r="C8" s="33"/>
      <c r="D8" s="33"/>
      <c r="E8" s="33"/>
      <c r="F8" s="33"/>
      <c r="G8" s="39"/>
      <c r="H8" s="39"/>
      <c r="I8" s="39"/>
      <c r="J8" s="39"/>
      <c r="K8" s="39"/>
      <c r="L8" s="39"/>
      <c r="M8" s="39"/>
      <c r="N8" s="39"/>
      <c r="O8" s="39"/>
      <c r="P8" s="1" t="s">
        <v>65</v>
      </c>
      <c r="Q8" s="73"/>
      <c r="V8" s="77"/>
      <c r="W8" s="77"/>
    </row>
    <row r="9" spans="1:23" ht="15" customHeight="1" x14ac:dyDescent="0.25">
      <c r="A9" s="25"/>
      <c r="B9" s="73">
        <v>100</v>
      </c>
      <c r="C9" s="73">
        <v>4000</v>
      </c>
      <c r="D9" s="73">
        <v>5200</v>
      </c>
      <c r="E9" s="73">
        <v>310</v>
      </c>
      <c r="F9" s="76" t="s">
        <v>55</v>
      </c>
      <c r="G9" s="39"/>
      <c r="H9" s="39"/>
      <c r="I9" s="39"/>
      <c r="J9" s="39"/>
      <c r="K9" s="77">
        <v>37939.79</v>
      </c>
      <c r="L9" s="39"/>
      <c r="M9" s="57">
        <f t="shared" ref="M9:M18" si="0">+K9/EnrOld*EnrNew*Inf</f>
        <v>38319.187900000004</v>
      </c>
      <c r="N9" s="57"/>
      <c r="O9" s="62" t="s">
        <v>88</v>
      </c>
      <c r="P9" s="1" t="str">
        <f>IF((M9)&gt;0.49,"*","")</f>
        <v>*</v>
      </c>
      <c r="Q9" s="73"/>
      <c r="R9" s="73"/>
      <c r="S9" s="73"/>
      <c r="T9" s="73"/>
      <c r="U9" s="73"/>
      <c r="V9" s="77"/>
      <c r="W9" s="77"/>
    </row>
    <row r="10" spans="1:23" x14ac:dyDescent="0.25">
      <c r="A10" s="25"/>
      <c r="B10" s="73">
        <v>100</v>
      </c>
      <c r="C10" s="73">
        <v>4000</v>
      </c>
      <c r="D10" s="73">
        <v>5200</v>
      </c>
      <c r="E10" s="73">
        <v>315</v>
      </c>
      <c r="F10" s="76" t="s">
        <v>96</v>
      </c>
      <c r="G10" s="57"/>
      <c r="H10" s="57"/>
      <c r="I10" s="39"/>
      <c r="J10" s="39"/>
      <c r="K10" s="77">
        <v>13188.619999999999</v>
      </c>
      <c r="L10" s="39"/>
      <c r="M10" s="57">
        <f t="shared" si="0"/>
        <v>13320.506200000002</v>
      </c>
      <c r="N10" s="57"/>
      <c r="O10" s="62" t="s">
        <v>88</v>
      </c>
      <c r="P10" s="1" t="str">
        <f t="shared" ref="P10:P59" si="1">IF((M10)&gt;0.49,"*","")</f>
        <v>*</v>
      </c>
      <c r="Q10" s="73"/>
      <c r="R10" s="73"/>
      <c r="S10" s="73"/>
      <c r="T10" s="73"/>
      <c r="U10" s="73"/>
      <c r="V10" s="77"/>
      <c r="W10" s="77"/>
    </row>
    <row r="11" spans="1:23" x14ac:dyDescent="0.25">
      <c r="A11" s="25"/>
      <c r="B11" s="73">
        <v>100</v>
      </c>
      <c r="C11" s="73">
        <v>4000</v>
      </c>
      <c r="D11" s="73">
        <v>5200</v>
      </c>
      <c r="E11" s="73">
        <v>330</v>
      </c>
      <c r="F11" s="76" t="s">
        <v>151</v>
      </c>
      <c r="G11" s="57"/>
      <c r="H11" s="57"/>
      <c r="I11" s="39"/>
      <c r="J11" s="39"/>
      <c r="K11" s="77">
        <v>162486.70999999996</v>
      </c>
      <c r="L11" s="39"/>
      <c r="M11" s="57">
        <f t="shared" si="0"/>
        <v>164111.57709999997</v>
      </c>
      <c r="N11" s="57"/>
      <c r="O11" s="62" t="s">
        <v>88</v>
      </c>
      <c r="P11" s="1" t="str">
        <f t="shared" si="1"/>
        <v>*</v>
      </c>
      <c r="Q11" s="73"/>
      <c r="R11" s="73"/>
      <c r="S11" s="73"/>
      <c r="T11" s="73"/>
      <c r="U11" s="73"/>
      <c r="V11" s="77"/>
      <c r="W11" s="77"/>
    </row>
    <row r="12" spans="1:23" x14ac:dyDescent="0.25">
      <c r="B12" s="73">
        <v>100</v>
      </c>
      <c r="C12" s="73">
        <v>4000</v>
      </c>
      <c r="D12" s="73">
        <v>5200</v>
      </c>
      <c r="E12" s="73">
        <v>390</v>
      </c>
      <c r="F12" s="76" t="s">
        <v>98</v>
      </c>
      <c r="G12" s="57"/>
      <c r="H12" s="57"/>
      <c r="I12" s="57"/>
      <c r="J12" s="64"/>
      <c r="K12" s="77">
        <v>3434.3200000000006</v>
      </c>
      <c r="L12" s="64"/>
      <c r="M12" s="57">
        <f t="shared" si="0"/>
        <v>3468.6632000000004</v>
      </c>
      <c r="N12" s="57"/>
      <c r="O12" s="62" t="s">
        <v>88</v>
      </c>
      <c r="P12" s="1" t="str">
        <f t="shared" si="1"/>
        <v>*</v>
      </c>
      <c r="Q12" s="73"/>
      <c r="R12" s="73"/>
      <c r="S12" s="73"/>
      <c r="T12" s="73"/>
      <c r="U12" s="73"/>
      <c r="V12" s="77"/>
      <c r="W12" s="77"/>
    </row>
    <row r="13" spans="1:23" x14ac:dyDescent="0.25">
      <c r="A13" s="25"/>
      <c r="B13" s="73">
        <v>100</v>
      </c>
      <c r="C13" s="73">
        <v>4000</v>
      </c>
      <c r="D13" s="73">
        <v>5200</v>
      </c>
      <c r="E13" s="73">
        <v>510</v>
      </c>
      <c r="F13" s="76" t="s">
        <v>99</v>
      </c>
      <c r="G13" s="39"/>
      <c r="H13" s="39"/>
      <c r="I13" s="39"/>
      <c r="J13" s="39"/>
      <c r="K13" s="77">
        <v>53719.26</v>
      </c>
      <c r="L13" s="39"/>
      <c r="M13" s="57">
        <f t="shared" si="0"/>
        <v>54256.452600000004</v>
      </c>
      <c r="N13" s="57"/>
      <c r="O13" s="62" t="s">
        <v>88</v>
      </c>
      <c r="P13" s="1" t="str">
        <f t="shared" si="1"/>
        <v>*</v>
      </c>
      <c r="Q13" s="73"/>
      <c r="R13" s="73"/>
      <c r="S13" s="73"/>
      <c r="T13" s="73"/>
      <c r="U13" s="73"/>
      <c r="V13" s="77"/>
      <c r="W13" s="77"/>
    </row>
    <row r="14" spans="1:23" hidden="1" x14ac:dyDescent="0.25">
      <c r="A14" s="25"/>
      <c r="B14" s="73">
        <v>100</v>
      </c>
      <c r="C14" s="73">
        <v>4000</v>
      </c>
      <c r="D14" s="73">
        <v>5200</v>
      </c>
      <c r="E14" s="73">
        <v>640</v>
      </c>
      <c r="F14" s="76" t="s">
        <v>184</v>
      </c>
      <c r="G14" s="39"/>
      <c r="H14" s="39"/>
      <c r="I14" s="39"/>
      <c r="J14" s="39"/>
      <c r="K14" s="77">
        <v>0</v>
      </c>
      <c r="L14" s="39"/>
      <c r="M14" s="57">
        <f t="shared" si="0"/>
        <v>0</v>
      </c>
      <c r="N14" s="57"/>
      <c r="O14" s="62" t="s">
        <v>88</v>
      </c>
      <c r="P14" s="1" t="str">
        <f t="shared" si="1"/>
        <v/>
      </c>
      <c r="Q14" s="73"/>
      <c r="R14" s="73"/>
      <c r="S14" s="73"/>
      <c r="T14" s="73"/>
      <c r="U14" s="73"/>
      <c r="V14" s="77"/>
      <c r="W14" s="77"/>
    </row>
    <row r="15" spans="1:23" x14ac:dyDescent="0.25">
      <c r="A15" s="25"/>
      <c r="B15" s="73">
        <v>100</v>
      </c>
      <c r="C15" s="73">
        <v>4000</v>
      </c>
      <c r="D15" s="73">
        <v>5200</v>
      </c>
      <c r="E15" s="73">
        <v>642</v>
      </c>
      <c r="F15" s="76" t="s">
        <v>144</v>
      </c>
      <c r="G15" s="39"/>
      <c r="H15" s="39"/>
      <c r="I15" s="39"/>
      <c r="J15" s="39"/>
      <c r="K15" s="77">
        <v>1579.91</v>
      </c>
      <c r="L15" s="39"/>
      <c r="M15" s="57">
        <f t="shared" si="0"/>
        <v>1595.7091000000003</v>
      </c>
      <c r="N15" s="57"/>
      <c r="O15" s="62" t="s">
        <v>88</v>
      </c>
      <c r="P15" s="1" t="str">
        <f t="shared" si="1"/>
        <v>*</v>
      </c>
      <c r="Q15" s="73"/>
      <c r="R15" s="73"/>
      <c r="S15" s="73"/>
      <c r="T15" s="73"/>
      <c r="U15" s="73"/>
      <c r="V15" s="77"/>
      <c r="W15" s="77"/>
    </row>
    <row r="16" spans="1:23" x14ac:dyDescent="0.25">
      <c r="A16" s="25"/>
      <c r="B16" s="73">
        <v>100</v>
      </c>
      <c r="C16" s="73">
        <v>4000</v>
      </c>
      <c r="D16" s="73">
        <v>6130</v>
      </c>
      <c r="E16" s="73">
        <v>310</v>
      </c>
      <c r="F16" s="76" t="s">
        <v>55</v>
      </c>
      <c r="G16" s="39"/>
      <c r="H16" s="39"/>
      <c r="I16" s="39"/>
      <c r="J16" s="39"/>
      <c r="K16" s="77">
        <v>400</v>
      </c>
      <c r="L16" s="39"/>
      <c r="M16" s="57">
        <f t="shared" si="0"/>
        <v>404</v>
      </c>
      <c r="N16" s="57"/>
      <c r="O16" s="62" t="s">
        <v>88</v>
      </c>
      <c r="P16" s="1" t="str">
        <f t="shared" si="1"/>
        <v>*</v>
      </c>
      <c r="Q16" s="73"/>
      <c r="R16" s="73"/>
      <c r="S16" s="73"/>
      <c r="T16" s="73"/>
      <c r="U16" s="73"/>
      <c r="V16" s="77"/>
      <c r="W16" s="77"/>
    </row>
    <row r="17" spans="1:23" hidden="1" x14ac:dyDescent="0.25">
      <c r="A17" s="25"/>
      <c r="B17" s="73">
        <v>100</v>
      </c>
      <c r="C17" s="73">
        <v>4000</v>
      </c>
      <c r="D17" s="73">
        <v>6400</v>
      </c>
      <c r="E17" s="73">
        <v>310</v>
      </c>
      <c r="F17" s="76" t="s">
        <v>126</v>
      </c>
      <c r="G17" s="39"/>
      <c r="H17" s="39"/>
      <c r="I17" s="39"/>
      <c r="J17" s="39"/>
      <c r="K17" s="77">
        <v>0</v>
      </c>
      <c r="L17" s="39"/>
      <c r="M17" s="57">
        <f t="shared" si="0"/>
        <v>0</v>
      </c>
      <c r="N17" s="57"/>
      <c r="O17" s="62" t="s">
        <v>88</v>
      </c>
      <c r="P17" s="1" t="str">
        <f t="shared" si="1"/>
        <v/>
      </c>
      <c r="Q17" s="73"/>
      <c r="R17" s="73"/>
      <c r="S17" s="73"/>
      <c r="T17" s="73"/>
      <c r="U17" s="73"/>
      <c r="V17" s="77"/>
      <c r="W17" s="77"/>
    </row>
    <row r="18" spans="1:23" x14ac:dyDescent="0.25">
      <c r="A18" s="31"/>
      <c r="B18" s="73">
        <v>100</v>
      </c>
      <c r="C18" s="73">
        <v>4000</v>
      </c>
      <c r="D18" s="73">
        <v>6500</v>
      </c>
      <c r="E18" s="73">
        <v>310</v>
      </c>
      <c r="F18" s="76" t="s">
        <v>101</v>
      </c>
      <c r="G18" s="57"/>
      <c r="H18" s="57"/>
      <c r="I18" s="57"/>
      <c r="J18" s="57"/>
      <c r="K18" s="77">
        <v>149</v>
      </c>
      <c r="L18" s="57"/>
      <c r="M18" s="57">
        <f t="shared" si="0"/>
        <v>150.49</v>
      </c>
      <c r="N18" s="57"/>
      <c r="O18" s="62" t="s">
        <v>88</v>
      </c>
      <c r="P18" s="1" t="str">
        <f t="shared" si="1"/>
        <v>*</v>
      </c>
      <c r="Q18" s="73"/>
      <c r="R18" s="73"/>
      <c r="S18" s="73"/>
      <c r="T18" s="73"/>
      <c r="U18" s="73"/>
      <c r="V18" s="77"/>
      <c r="W18" s="77"/>
    </row>
    <row r="19" spans="1:23" x14ac:dyDescent="0.25">
      <c r="A19" s="25"/>
      <c r="B19" s="73">
        <v>100</v>
      </c>
      <c r="C19" s="73">
        <v>4000</v>
      </c>
      <c r="D19" s="73">
        <v>7100</v>
      </c>
      <c r="E19" s="73">
        <v>310</v>
      </c>
      <c r="F19" s="76" t="s">
        <v>102</v>
      </c>
      <c r="G19" s="39"/>
      <c r="H19" s="39"/>
      <c r="I19" s="39"/>
      <c r="J19" s="39"/>
      <c r="K19" s="77">
        <v>10372.5</v>
      </c>
      <c r="L19" s="39"/>
      <c r="M19" s="39">
        <f>+K19*Inf</f>
        <v>10476.225</v>
      </c>
      <c r="N19" s="39"/>
      <c r="O19" s="49" t="s">
        <v>89</v>
      </c>
      <c r="P19" s="1" t="str">
        <f t="shared" si="1"/>
        <v>*</v>
      </c>
      <c r="Q19" s="73"/>
      <c r="R19" s="73"/>
      <c r="S19" s="73"/>
      <c r="T19" s="73"/>
      <c r="U19" s="73"/>
      <c r="V19" s="77"/>
      <c r="W19" s="77"/>
    </row>
    <row r="20" spans="1:23" x14ac:dyDescent="0.25">
      <c r="A20" s="25"/>
      <c r="B20" s="73">
        <v>100</v>
      </c>
      <c r="C20" s="73">
        <v>4000</v>
      </c>
      <c r="D20" s="73">
        <v>7100</v>
      </c>
      <c r="E20" s="73">
        <v>320</v>
      </c>
      <c r="F20" s="76" t="s">
        <v>143</v>
      </c>
      <c r="G20" s="39"/>
      <c r="H20" s="39"/>
      <c r="I20" s="39"/>
      <c r="J20" s="39"/>
      <c r="K20" s="77">
        <v>14842.830000000002</v>
      </c>
      <c r="L20" s="39"/>
      <c r="M20" s="39">
        <f>+K20*Inf</f>
        <v>14991.258300000001</v>
      </c>
      <c r="N20" s="39"/>
      <c r="O20" s="49" t="s">
        <v>89</v>
      </c>
      <c r="P20" s="1" t="str">
        <f t="shared" si="1"/>
        <v>*</v>
      </c>
      <c r="Q20" s="73"/>
      <c r="R20" s="73"/>
      <c r="S20" s="73"/>
      <c r="T20" s="73"/>
      <c r="U20" s="73"/>
      <c r="V20" s="77"/>
      <c r="W20" s="77"/>
    </row>
    <row r="21" spans="1:23" x14ac:dyDescent="0.25">
      <c r="A21" s="25"/>
      <c r="B21" s="73">
        <v>100</v>
      </c>
      <c r="C21" s="73">
        <v>4000</v>
      </c>
      <c r="D21" s="73">
        <v>7100</v>
      </c>
      <c r="E21" s="73">
        <v>330</v>
      </c>
      <c r="F21" s="76" t="s">
        <v>104</v>
      </c>
      <c r="G21" s="39"/>
      <c r="H21" s="39"/>
      <c r="I21" s="39"/>
      <c r="J21" s="39"/>
      <c r="K21" s="77">
        <v>397.25</v>
      </c>
      <c r="L21" s="39"/>
      <c r="M21" s="39">
        <f>+K21*Inf</f>
        <v>401.22250000000003</v>
      </c>
      <c r="N21" s="39"/>
      <c r="O21" s="49" t="s">
        <v>89</v>
      </c>
      <c r="P21" s="1" t="str">
        <f t="shared" si="1"/>
        <v>*</v>
      </c>
      <c r="Q21" s="73"/>
      <c r="R21" s="73"/>
      <c r="S21" s="73"/>
      <c r="T21" s="73"/>
      <c r="U21" s="73"/>
      <c r="V21" s="77"/>
      <c r="W21" s="77"/>
    </row>
    <row r="22" spans="1:23" x14ac:dyDescent="0.25">
      <c r="A22" s="25"/>
      <c r="B22" s="73">
        <v>100</v>
      </c>
      <c r="C22" s="73">
        <v>4000</v>
      </c>
      <c r="D22" s="73">
        <v>7100</v>
      </c>
      <c r="E22" s="73">
        <v>730</v>
      </c>
      <c r="F22" s="76" t="s">
        <v>103</v>
      </c>
      <c r="G22" s="39"/>
      <c r="H22" s="39"/>
      <c r="I22" s="39"/>
      <c r="J22" s="39"/>
      <c r="K22" s="77">
        <v>14013.06</v>
      </c>
      <c r="L22" s="39"/>
      <c r="M22" s="39">
        <f>+K22*Inf</f>
        <v>14153.1906</v>
      </c>
      <c r="N22" s="39"/>
      <c r="O22" s="49" t="s">
        <v>89</v>
      </c>
      <c r="P22" s="1" t="str">
        <f t="shared" ref="P22" si="2">IF((M22)&gt;0.49,"*","")</f>
        <v>*</v>
      </c>
      <c r="Q22" s="73"/>
      <c r="R22" s="73"/>
      <c r="S22" s="73"/>
      <c r="T22" s="73"/>
      <c r="U22" s="73"/>
      <c r="V22" s="77"/>
      <c r="W22" s="77"/>
    </row>
    <row r="23" spans="1:23" x14ac:dyDescent="0.25">
      <c r="A23" s="25"/>
      <c r="B23" s="73">
        <v>100</v>
      </c>
      <c r="C23" s="73">
        <v>4000</v>
      </c>
      <c r="D23" s="73">
        <v>7100</v>
      </c>
      <c r="E23" s="73">
        <v>790</v>
      </c>
      <c r="F23" s="76" t="s">
        <v>56</v>
      </c>
      <c r="G23" s="39"/>
      <c r="H23" s="39"/>
      <c r="I23" s="39"/>
      <c r="J23" s="39"/>
      <c r="K23" s="77">
        <v>20487.96</v>
      </c>
      <c r="L23" s="39"/>
      <c r="M23" s="57">
        <f>+'Rev Input'!J50</f>
        <v>21590.15</v>
      </c>
      <c r="N23" s="39"/>
      <c r="O23" s="150" t="s">
        <v>199</v>
      </c>
      <c r="P23" s="1" t="str">
        <f t="shared" si="1"/>
        <v>*</v>
      </c>
      <c r="Q23" s="73"/>
      <c r="R23" s="73"/>
      <c r="S23" s="73"/>
      <c r="T23" s="73"/>
      <c r="U23" s="73"/>
      <c r="V23" s="77"/>
      <c r="W23" s="77"/>
    </row>
    <row r="24" spans="1:23" x14ac:dyDescent="0.25">
      <c r="A24" s="25"/>
      <c r="B24" s="73">
        <v>100</v>
      </c>
      <c r="C24" s="73">
        <v>4000</v>
      </c>
      <c r="D24" s="73">
        <v>7300</v>
      </c>
      <c r="E24" s="73">
        <v>330</v>
      </c>
      <c r="F24" s="76" t="s">
        <v>104</v>
      </c>
      <c r="G24" s="39"/>
      <c r="H24" s="39"/>
      <c r="I24" s="39"/>
      <c r="J24" s="39"/>
      <c r="K24" s="77">
        <v>4836.0200000000004</v>
      </c>
      <c r="L24" s="39"/>
      <c r="M24" s="57">
        <f t="shared" ref="M24:M29" si="3">+K24*Inf</f>
        <v>4884.3802000000005</v>
      </c>
      <c r="N24" s="39"/>
      <c r="O24" s="49" t="s">
        <v>89</v>
      </c>
      <c r="P24" s="1" t="str">
        <f t="shared" si="1"/>
        <v>*</v>
      </c>
      <c r="Q24" s="73"/>
      <c r="R24" s="73"/>
      <c r="S24" s="73"/>
      <c r="T24" s="73"/>
      <c r="U24" s="73"/>
      <c r="V24" s="77"/>
      <c r="W24" s="77"/>
    </row>
    <row r="25" spans="1:23" x14ac:dyDescent="0.25">
      <c r="A25" s="25"/>
      <c r="B25" s="73">
        <v>100</v>
      </c>
      <c r="C25" s="73">
        <v>4000</v>
      </c>
      <c r="D25" s="73">
        <v>7300</v>
      </c>
      <c r="E25" s="73">
        <v>370</v>
      </c>
      <c r="F25" s="76" t="s">
        <v>105</v>
      </c>
      <c r="G25" s="39"/>
      <c r="H25" s="39"/>
      <c r="I25" s="39"/>
      <c r="J25" s="39"/>
      <c r="K25" s="77">
        <v>1108.3699999999999</v>
      </c>
      <c r="L25" s="39"/>
      <c r="M25" s="39">
        <f t="shared" si="3"/>
        <v>1119.4536999999998</v>
      </c>
      <c r="N25" s="39"/>
      <c r="O25" s="49" t="s">
        <v>89</v>
      </c>
      <c r="P25" s="1" t="str">
        <f t="shared" si="1"/>
        <v>*</v>
      </c>
      <c r="Q25" s="73"/>
      <c r="R25" s="73"/>
      <c r="S25" s="73"/>
      <c r="T25" s="73"/>
      <c r="U25" s="73"/>
      <c r="V25" s="77"/>
      <c r="W25" s="77"/>
    </row>
    <row r="26" spans="1:23" x14ac:dyDescent="0.25">
      <c r="A26" s="25"/>
      <c r="B26" s="73">
        <v>100</v>
      </c>
      <c r="C26" s="73">
        <v>4000</v>
      </c>
      <c r="D26" s="73">
        <v>7300</v>
      </c>
      <c r="E26" s="73">
        <v>390</v>
      </c>
      <c r="F26" s="76" t="s">
        <v>106</v>
      </c>
      <c r="G26" s="39"/>
      <c r="H26" s="39"/>
      <c r="I26" s="39"/>
      <c r="J26" s="39"/>
      <c r="K26" s="77">
        <v>1661.58</v>
      </c>
      <c r="L26" s="39"/>
      <c r="M26" s="39">
        <f t="shared" si="3"/>
        <v>1678.1958</v>
      </c>
      <c r="N26" s="39"/>
      <c r="O26" s="49" t="s">
        <v>89</v>
      </c>
      <c r="P26" s="1" t="str">
        <f t="shared" si="1"/>
        <v>*</v>
      </c>
      <c r="Q26" s="73"/>
      <c r="R26" s="73"/>
      <c r="S26" s="73"/>
      <c r="T26" s="73"/>
      <c r="U26" s="73"/>
      <c r="V26" s="77"/>
      <c r="W26" s="77"/>
    </row>
    <row r="27" spans="1:23" x14ac:dyDescent="0.25">
      <c r="A27" s="25"/>
      <c r="B27" s="73">
        <v>100</v>
      </c>
      <c r="C27" s="73">
        <v>4000</v>
      </c>
      <c r="D27" s="73">
        <v>7300</v>
      </c>
      <c r="E27" s="73">
        <v>510</v>
      </c>
      <c r="F27" s="76" t="s">
        <v>107</v>
      </c>
      <c r="G27" s="39"/>
      <c r="H27" s="39"/>
      <c r="I27" s="39"/>
      <c r="J27" s="39"/>
      <c r="K27" s="77">
        <v>16180.949999999999</v>
      </c>
      <c r="L27" s="39"/>
      <c r="M27" s="39">
        <f t="shared" si="3"/>
        <v>16342.759499999998</v>
      </c>
      <c r="N27" s="39"/>
      <c r="O27" s="49" t="s">
        <v>89</v>
      </c>
      <c r="P27" s="1" t="str">
        <f t="shared" si="1"/>
        <v>*</v>
      </c>
      <c r="Q27" s="73"/>
      <c r="R27" s="73"/>
      <c r="S27" s="73"/>
      <c r="T27" s="73"/>
      <c r="U27" s="73"/>
      <c r="V27" s="77"/>
      <c r="W27" s="77"/>
    </row>
    <row r="28" spans="1:23" x14ac:dyDescent="0.25">
      <c r="A28" s="25"/>
      <c r="B28" s="73">
        <v>100</v>
      </c>
      <c r="C28" s="73">
        <v>4000</v>
      </c>
      <c r="D28" s="73">
        <v>7300</v>
      </c>
      <c r="E28" s="73">
        <v>642</v>
      </c>
      <c r="F28" s="76" t="s">
        <v>189</v>
      </c>
      <c r="G28" s="39"/>
      <c r="H28" s="39"/>
      <c r="I28" s="39"/>
      <c r="J28" s="39"/>
      <c r="K28" s="77">
        <v>599.93000000000006</v>
      </c>
      <c r="L28" s="39"/>
      <c r="M28" s="39">
        <f t="shared" si="3"/>
        <v>605.92930000000013</v>
      </c>
      <c r="N28" s="39"/>
      <c r="O28" s="49" t="s">
        <v>89</v>
      </c>
      <c r="P28" s="1" t="str">
        <f t="shared" si="1"/>
        <v>*</v>
      </c>
      <c r="Q28" s="73"/>
      <c r="R28" s="73"/>
      <c r="S28" s="73"/>
      <c r="T28" s="73"/>
      <c r="U28" s="73"/>
      <c r="V28" s="77"/>
      <c r="W28" s="77"/>
    </row>
    <row r="29" spans="1:23" x14ac:dyDescent="0.25">
      <c r="A29" s="25"/>
      <c r="B29" s="73">
        <v>100</v>
      </c>
      <c r="C29" s="73">
        <v>4000</v>
      </c>
      <c r="D29" s="73">
        <v>7300</v>
      </c>
      <c r="E29" s="73">
        <v>643</v>
      </c>
      <c r="F29" s="76" t="s">
        <v>100</v>
      </c>
      <c r="G29" s="39"/>
      <c r="H29" s="39"/>
      <c r="I29" s="39"/>
      <c r="J29" s="39"/>
      <c r="K29" s="77">
        <v>1011.78</v>
      </c>
      <c r="L29" s="39"/>
      <c r="M29" s="39">
        <f t="shared" si="3"/>
        <v>1021.8978</v>
      </c>
      <c r="N29" s="39"/>
      <c r="O29" s="49" t="s">
        <v>89</v>
      </c>
      <c r="P29" s="1" t="str">
        <f t="shared" si="1"/>
        <v>*</v>
      </c>
      <c r="Q29" s="73"/>
      <c r="R29" s="73"/>
      <c r="S29" s="73"/>
      <c r="T29" s="73"/>
      <c r="U29" s="73"/>
      <c r="V29" s="77"/>
      <c r="W29" s="77"/>
    </row>
    <row r="30" spans="1:23" hidden="1" x14ac:dyDescent="0.25">
      <c r="A30" s="25"/>
      <c r="B30" s="73">
        <v>100</v>
      </c>
      <c r="C30" s="73">
        <v>4000</v>
      </c>
      <c r="D30" s="73">
        <v>7400</v>
      </c>
      <c r="E30" s="73">
        <v>360</v>
      </c>
      <c r="F30" s="76" t="s">
        <v>130</v>
      </c>
      <c r="G30" s="39"/>
      <c r="H30" s="39"/>
      <c r="I30" s="39"/>
      <c r="J30" s="39"/>
      <c r="K30" s="77">
        <v>3406</v>
      </c>
      <c r="L30" s="39"/>
      <c r="M30" s="140">
        <v>0</v>
      </c>
      <c r="N30" s="39"/>
      <c r="O30" s="49" t="s">
        <v>147</v>
      </c>
      <c r="P30" s="1" t="str">
        <f t="shared" si="1"/>
        <v/>
      </c>
      <c r="Q30" s="73"/>
      <c r="R30" s="73"/>
      <c r="S30" s="73"/>
      <c r="T30" s="73"/>
      <c r="U30" s="73"/>
      <c r="V30" s="77"/>
      <c r="W30" s="77"/>
    </row>
    <row r="31" spans="1:23" x14ac:dyDescent="0.25">
      <c r="A31" s="25"/>
      <c r="B31" s="73">
        <v>360</v>
      </c>
      <c r="C31" s="73">
        <v>4000</v>
      </c>
      <c r="D31" s="73">
        <v>7400</v>
      </c>
      <c r="E31" s="73">
        <v>360</v>
      </c>
      <c r="F31" s="76" t="s">
        <v>130</v>
      </c>
      <c r="G31" s="39"/>
      <c r="H31" s="39"/>
      <c r="I31" s="39"/>
      <c r="J31" s="39"/>
      <c r="K31" s="77">
        <v>17594</v>
      </c>
      <c r="L31" s="39"/>
      <c r="M31" s="39">
        <v>21000</v>
      </c>
      <c r="N31" s="39"/>
      <c r="O31" s="49" t="s">
        <v>147</v>
      </c>
      <c r="P31" s="1" t="str">
        <f t="shared" si="1"/>
        <v>*</v>
      </c>
      <c r="Q31" s="73"/>
      <c r="R31" s="73"/>
      <c r="S31" s="73"/>
      <c r="T31" s="73"/>
      <c r="U31" s="73"/>
      <c r="V31" s="77"/>
      <c r="W31" s="77"/>
    </row>
    <row r="32" spans="1:23" hidden="1" x14ac:dyDescent="0.25">
      <c r="A32" s="25"/>
      <c r="B32" s="73">
        <v>100</v>
      </c>
      <c r="C32" s="73">
        <v>4000</v>
      </c>
      <c r="D32" s="73">
        <v>7400</v>
      </c>
      <c r="E32" s="73">
        <v>630</v>
      </c>
      <c r="F32" s="76" t="s">
        <v>108</v>
      </c>
      <c r="G32" s="39"/>
      <c r="H32" s="39"/>
      <c r="I32" s="39"/>
      <c r="J32" s="39"/>
      <c r="K32" s="77"/>
      <c r="L32" s="39"/>
      <c r="M32" s="39">
        <f t="shared" ref="M32" si="4">+K32*Inf</f>
        <v>0</v>
      </c>
      <c r="N32" s="39"/>
      <c r="O32" s="49" t="s">
        <v>89</v>
      </c>
      <c r="P32" s="1" t="str">
        <f t="shared" si="1"/>
        <v/>
      </c>
      <c r="Q32" s="73"/>
      <c r="R32" s="73"/>
      <c r="S32" s="73"/>
      <c r="T32" s="73"/>
      <c r="U32" s="73"/>
      <c r="V32" s="77"/>
      <c r="W32" s="77"/>
    </row>
    <row r="33" spans="1:23" x14ac:dyDescent="0.25">
      <c r="A33" s="25"/>
      <c r="B33" s="73">
        <v>100</v>
      </c>
      <c r="C33" s="73">
        <v>4000</v>
      </c>
      <c r="D33" s="73">
        <v>7500</v>
      </c>
      <c r="E33" s="73">
        <v>310</v>
      </c>
      <c r="F33" s="76" t="s">
        <v>109</v>
      </c>
      <c r="G33" s="39"/>
      <c r="H33" s="39"/>
      <c r="I33" s="39"/>
      <c r="J33" s="39"/>
      <c r="K33" s="77">
        <v>21066.25</v>
      </c>
      <c r="L33" s="39"/>
      <c r="M33" s="163">
        <f>0.03*('Rev Input'!J10-'Expense Input'!M23)</f>
        <v>21263.6355</v>
      </c>
      <c r="N33" s="39"/>
      <c r="O33" s="49" t="s">
        <v>185</v>
      </c>
      <c r="P33" s="1" t="str">
        <f t="shared" si="1"/>
        <v>*</v>
      </c>
      <c r="Q33" s="73"/>
      <c r="R33" s="73"/>
      <c r="S33" s="73"/>
      <c r="T33" s="73"/>
      <c r="U33" s="73"/>
      <c r="V33" s="77"/>
      <c r="W33" s="77"/>
    </row>
    <row r="34" spans="1:23" x14ac:dyDescent="0.25">
      <c r="A34" s="25"/>
      <c r="B34" s="73">
        <v>100</v>
      </c>
      <c r="C34" s="73">
        <v>4000</v>
      </c>
      <c r="D34" s="73">
        <v>7500</v>
      </c>
      <c r="E34" s="73">
        <v>311</v>
      </c>
      <c r="F34" s="76" t="s">
        <v>110</v>
      </c>
      <c r="G34" s="39"/>
      <c r="H34" s="39"/>
      <c r="I34" s="39"/>
      <c r="J34" s="39"/>
      <c r="K34" s="77">
        <v>5271.54</v>
      </c>
      <c r="L34" s="39"/>
      <c r="M34" s="163">
        <f>Payroll!E110*1.5%</f>
        <v>5769.4941359999993</v>
      </c>
      <c r="N34" s="39"/>
      <c r="O34" s="49" t="s">
        <v>185</v>
      </c>
      <c r="P34" s="1" t="str">
        <f t="shared" si="1"/>
        <v>*</v>
      </c>
      <c r="Q34" s="73"/>
      <c r="R34" s="73"/>
      <c r="S34" s="73"/>
      <c r="T34" s="73"/>
      <c r="U34" s="73"/>
      <c r="V34" s="77"/>
      <c r="W34" s="77"/>
    </row>
    <row r="35" spans="1:23" x14ac:dyDescent="0.25">
      <c r="A35" s="25"/>
      <c r="B35" s="73">
        <v>100</v>
      </c>
      <c r="C35" s="73">
        <v>4000</v>
      </c>
      <c r="D35" s="73">
        <v>7800</v>
      </c>
      <c r="E35" s="73">
        <v>350</v>
      </c>
      <c r="F35" s="76" t="s">
        <v>142</v>
      </c>
      <c r="G35" s="39"/>
      <c r="H35" s="39"/>
      <c r="I35" s="39"/>
      <c r="J35" s="39"/>
      <c r="K35" s="77">
        <v>14650</v>
      </c>
      <c r="L35" s="39"/>
      <c r="M35" s="57">
        <f>+K35/EnrOld*EnrNew*Inf</f>
        <v>14796.5</v>
      </c>
      <c r="N35" s="57"/>
      <c r="O35" s="62" t="s">
        <v>88</v>
      </c>
      <c r="P35" s="1" t="str">
        <f t="shared" si="1"/>
        <v>*</v>
      </c>
      <c r="Q35" s="73"/>
      <c r="R35" s="73"/>
      <c r="S35" s="73"/>
      <c r="T35" s="73"/>
      <c r="U35" s="73"/>
      <c r="V35" s="77"/>
      <c r="W35" s="77"/>
    </row>
    <row r="36" spans="1:23" x14ac:dyDescent="0.25">
      <c r="A36" s="25"/>
      <c r="B36" s="73">
        <v>100</v>
      </c>
      <c r="C36" s="73">
        <v>4000</v>
      </c>
      <c r="D36" s="73">
        <v>7800</v>
      </c>
      <c r="E36" s="73">
        <v>550</v>
      </c>
      <c r="F36" s="76" t="s">
        <v>150</v>
      </c>
      <c r="G36" s="39"/>
      <c r="H36" s="39"/>
      <c r="I36" s="39"/>
      <c r="J36" s="39"/>
      <c r="K36" s="77">
        <v>8075.5599999999995</v>
      </c>
      <c r="L36" s="39"/>
      <c r="M36" s="57">
        <f t="shared" ref="M36:M50" si="5">+K36*Inf</f>
        <v>8156.3155999999999</v>
      </c>
      <c r="N36" s="39"/>
      <c r="O36" s="49" t="s">
        <v>89</v>
      </c>
      <c r="P36" s="1" t="str">
        <f t="shared" si="1"/>
        <v>*</v>
      </c>
      <c r="Q36" s="73"/>
      <c r="R36" s="73"/>
      <c r="S36" s="73"/>
      <c r="T36" s="73"/>
      <c r="U36" s="73"/>
      <c r="V36" s="77"/>
      <c r="W36" s="77"/>
    </row>
    <row r="37" spans="1:23" hidden="1" x14ac:dyDescent="0.25">
      <c r="A37" s="25"/>
      <c r="B37" s="73">
        <v>100</v>
      </c>
      <c r="C37" s="73">
        <v>4000</v>
      </c>
      <c r="D37" s="73">
        <v>7800</v>
      </c>
      <c r="E37" s="73">
        <v>640</v>
      </c>
      <c r="F37" s="76" t="s">
        <v>190</v>
      </c>
      <c r="G37" s="39"/>
      <c r="H37" s="39"/>
      <c r="I37" s="39"/>
      <c r="J37" s="39"/>
      <c r="K37" s="77">
        <v>15026.599999999999</v>
      </c>
      <c r="L37" s="39"/>
      <c r="M37" s="39">
        <v>0</v>
      </c>
      <c r="N37" s="39"/>
      <c r="O37" s="49" t="s">
        <v>179</v>
      </c>
      <c r="P37" s="1" t="str">
        <f t="shared" si="1"/>
        <v/>
      </c>
      <c r="Q37" s="73"/>
      <c r="R37" s="73"/>
      <c r="S37" s="73"/>
      <c r="T37" s="73"/>
      <c r="U37" s="73"/>
      <c r="V37" s="77"/>
      <c r="W37" s="77"/>
    </row>
    <row r="38" spans="1:23" hidden="1" x14ac:dyDescent="0.25">
      <c r="A38" s="25"/>
      <c r="B38" s="73">
        <v>360</v>
      </c>
      <c r="C38" s="73">
        <v>4000</v>
      </c>
      <c r="D38" s="73">
        <v>7800</v>
      </c>
      <c r="E38" s="73">
        <v>640</v>
      </c>
      <c r="F38" s="76" t="s">
        <v>190</v>
      </c>
      <c r="G38" s="39"/>
      <c r="H38" s="39"/>
      <c r="I38" s="39"/>
      <c r="J38" s="39"/>
      <c r="K38" s="77">
        <v>5318</v>
      </c>
      <c r="L38" s="39"/>
      <c r="M38" s="39">
        <v>0</v>
      </c>
      <c r="N38" s="39"/>
      <c r="O38" s="49" t="s">
        <v>179</v>
      </c>
      <c r="P38" s="1" t="str">
        <f t="shared" si="1"/>
        <v/>
      </c>
      <c r="Q38" s="73"/>
      <c r="R38" s="73"/>
      <c r="S38" s="73"/>
      <c r="T38" s="73"/>
      <c r="U38" s="73"/>
      <c r="V38" s="77"/>
      <c r="W38" s="77"/>
    </row>
    <row r="39" spans="1:23" x14ac:dyDescent="0.25">
      <c r="A39" s="25"/>
      <c r="B39" s="73">
        <v>100</v>
      </c>
      <c r="C39" s="73">
        <v>4000</v>
      </c>
      <c r="D39" s="73">
        <v>7900</v>
      </c>
      <c r="E39" s="73" t="s">
        <v>211</v>
      </c>
      <c r="F39" s="76" t="s">
        <v>212</v>
      </c>
      <c r="G39" s="39"/>
      <c r="H39" s="39"/>
      <c r="I39" s="39"/>
      <c r="J39" s="39"/>
      <c r="K39" s="77">
        <v>0</v>
      </c>
      <c r="L39" s="39"/>
      <c r="M39" s="57">
        <v>20000</v>
      </c>
      <c r="N39" s="39"/>
      <c r="O39" s="49" t="s">
        <v>216</v>
      </c>
      <c r="P39" s="1" t="str">
        <f t="shared" ref="P39" si="6">IF((M39)&gt;0.49,"*","")</f>
        <v>*</v>
      </c>
      <c r="Q39" s="73"/>
      <c r="R39" s="73" t="s">
        <v>213</v>
      </c>
      <c r="S39" s="73"/>
      <c r="T39" s="73"/>
      <c r="U39" s="73"/>
      <c r="V39" s="77"/>
      <c r="W39" s="77"/>
    </row>
    <row r="40" spans="1:23" x14ac:dyDescent="0.25">
      <c r="A40" s="25"/>
      <c r="B40" s="73">
        <v>100</v>
      </c>
      <c r="C40" s="73">
        <v>4000</v>
      </c>
      <c r="D40" s="73">
        <v>7900</v>
      </c>
      <c r="E40" s="73">
        <v>320</v>
      </c>
      <c r="F40" s="76" t="s">
        <v>111</v>
      </c>
      <c r="G40" s="39"/>
      <c r="H40" s="39"/>
      <c r="I40" s="39"/>
      <c r="J40" s="39"/>
      <c r="K40" s="77">
        <v>1480</v>
      </c>
      <c r="L40" s="39"/>
      <c r="M40" s="57">
        <f t="shared" si="5"/>
        <v>1494.8</v>
      </c>
      <c r="N40" s="39"/>
      <c r="O40" s="49" t="s">
        <v>89</v>
      </c>
      <c r="P40" s="1" t="str">
        <f t="shared" si="1"/>
        <v>*</v>
      </c>
      <c r="Q40" s="73"/>
      <c r="R40" s="73"/>
      <c r="S40" s="73"/>
      <c r="T40" s="73"/>
      <c r="U40" s="73"/>
      <c r="V40" s="77"/>
      <c r="W40" s="77"/>
    </row>
    <row r="41" spans="1:23" x14ac:dyDescent="0.25">
      <c r="A41" s="31"/>
      <c r="B41" s="73">
        <v>100</v>
      </c>
      <c r="C41" s="73">
        <v>4000</v>
      </c>
      <c r="D41" s="73">
        <v>7900</v>
      </c>
      <c r="E41" s="73">
        <v>360</v>
      </c>
      <c r="F41" s="76" t="s">
        <v>149</v>
      </c>
      <c r="G41" s="57"/>
      <c r="H41" s="57"/>
      <c r="I41" s="57"/>
      <c r="J41" s="57"/>
      <c r="K41" s="77">
        <v>1525</v>
      </c>
      <c r="L41" s="57"/>
      <c r="M41" s="57">
        <f t="shared" si="5"/>
        <v>1540.25</v>
      </c>
      <c r="N41" s="39"/>
      <c r="O41" s="49" t="s">
        <v>89</v>
      </c>
      <c r="P41" s="1" t="str">
        <f t="shared" si="1"/>
        <v>*</v>
      </c>
      <c r="Q41" s="73"/>
      <c r="R41" s="73"/>
      <c r="S41" s="73"/>
      <c r="T41" s="73"/>
      <c r="U41" s="73"/>
      <c r="V41" s="77"/>
      <c r="W41" s="77"/>
    </row>
    <row r="42" spans="1:23" x14ac:dyDescent="0.25">
      <c r="A42" s="31"/>
      <c r="B42" s="73">
        <v>100</v>
      </c>
      <c r="C42" s="73">
        <v>4000</v>
      </c>
      <c r="D42" s="73">
        <v>7900</v>
      </c>
      <c r="E42" s="73">
        <v>370</v>
      </c>
      <c r="F42" s="76" t="s">
        <v>112</v>
      </c>
      <c r="G42" s="57"/>
      <c r="H42" s="57"/>
      <c r="I42" s="57"/>
      <c r="J42" s="57"/>
      <c r="K42" s="77">
        <v>3958.0899999999992</v>
      </c>
      <c r="L42" s="57"/>
      <c r="M42" s="39">
        <f t="shared" si="5"/>
        <v>3997.6708999999992</v>
      </c>
      <c r="N42" s="39"/>
      <c r="O42" s="49" t="s">
        <v>89</v>
      </c>
      <c r="P42" s="1" t="str">
        <f t="shared" si="1"/>
        <v>*</v>
      </c>
      <c r="Q42" s="73"/>
      <c r="R42" s="73"/>
      <c r="S42" s="73"/>
      <c r="T42" s="73"/>
      <c r="U42" s="73"/>
      <c r="V42" s="77"/>
      <c r="W42" s="77"/>
    </row>
    <row r="43" spans="1:23" x14ac:dyDescent="0.25">
      <c r="A43" s="60"/>
      <c r="B43" s="73">
        <v>100</v>
      </c>
      <c r="C43" s="73">
        <v>4000</v>
      </c>
      <c r="D43" s="73">
        <v>7900</v>
      </c>
      <c r="E43" s="73">
        <v>380</v>
      </c>
      <c r="F43" s="76" t="s">
        <v>113</v>
      </c>
      <c r="G43" s="57"/>
      <c r="H43" s="57"/>
      <c r="I43" s="57"/>
      <c r="J43" s="57"/>
      <c r="K43" s="77">
        <v>1888.18</v>
      </c>
      <c r="L43" s="57"/>
      <c r="M43" s="39">
        <f t="shared" si="5"/>
        <v>1907.0618000000002</v>
      </c>
      <c r="N43" s="39"/>
      <c r="O43" s="49" t="s">
        <v>89</v>
      </c>
      <c r="P43" s="1" t="str">
        <f t="shared" si="1"/>
        <v>*</v>
      </c>
      <c r="Q43" s="73"/>
      <c r="R43" s="73"/>
      <c r="S43" s="73"/>
      <c r="T43" s="73"/>
      <c r="U43" s="73"/>
      <c r="V43" s="77"/>
      <c r="W43" s="77"/>
    </row>
    <row r="44" spans="1:23" x14ac:dyDescent="0.25">
      <c r="A44" s="60"/>
      <c r="B44" s="73">
        <v>100</v>
      </c>
      <c r="C44" s="73">
        <v>4000</v>
      </c>
      <c r="D44" s="73">
        <v>7900</v>
      </c>
      <c r="E44" s="73">
        <v>390</v>
      </c>
      <c r="F44" s="76" t="s">
        <v>114</v>
      </c>
      <c r="G44" s="57"/>
      <c r="H44" s="57"/>
      <c r="I44" s="57"/>
      <c r="J44" s="57"/>
      <c r="K44" s="77">
        <v>5362.0999999999995</v>
      </c>
      <c r="L44" s="57"/>
      <c r="M44" s="39">
        <f t="shared" si="5"/>
        <v>5415.7209999999995</v>
      </c>
      <c r="N44" s="39"/>
      <c r="O44" s="49" t="s">
        <v>89</v>
      </c>
      <c r="P44" s="1" t="str">
        <f t="shared" si="1"/>
        <v>*</v>
      </c>
      <c r="Q44" s="73"/>
      <c r="R44" s="73"/>
      <c r="S44" s="73"/>
      <c r="T44" s="73"/>
      <c r="U44" s="73"/>
      <c r="V44" s="77"/>
      <c r="W44" s="77"/>
    </row>
    <row r="45" spans="1:23" x14ac:dyDescent="0.25">
      <c r="A45" s="25"/>
      <c r="B45" s="73">
        <v>100</v>
      </c>
      <c r="C45" s="73">
        <v>4000</v>
      </c>
      <c r="D45" s="73">
        <v>7900</v>
      </c>
      <c r="E45" s="73">
        <v>430</v>
      </c>
      <c r="F45" s="76" t="s">
        <v>115</v>
      </c>
      <c r="G45" s="57"/>
      <c r="H45" s="57"/>
      <c r="I45" s="57"/>
      <c r="J45" s="57"/>
      <c r="K45" s="77">
        <v>6859.4500000000007</v>
      </c>
      <c r="L45" s="57"/>
      <c r="M45" s="39">
        <f t="shared" si="5"/>
        <v>6928.0445000000009</v>
      </c>
      <c r="N45" s="39"/>
      <c r="O45" s="49" t="s">
        <v>89</v>
      </c>
      <c r="P45" s="1" t="str">
        <f t="shared" si="1"/>
        <v>*</v>
      </c>
      <c r="Q45" s="73"/>
      <c r="R45" s="73"/>
      <c r="S45" s="73"/>
      <c r="T45" s="73"/>
      <c r="U45" s="73"/>
      <c r="V45" s="77"/>
      <c r="W45" s="77"/>
    </row>
    <row r="46" spans="1:23" x14ac:dyDescent="0.25">
      <c r="A46" s="25"/>
      <c r="B46" s="73">
        <v>100</v>
      </c>
      <c r="C46" s="73">
        <v>4000</v>
      </c>
      <c r="D46" s="73">
        <v>7900</v>
      </c>
      <c r="E46" s="73">
        <v>510</v>
      </c>
      <c r="F46" s="76" t="s">
        <v>116</v>
      </c>
      <c r="G46" s="39"/>
      <c r="H46" s="39"/>
      <c r="I46" s="39"/>
      <c r="J46" s="39"/>
      <c r="K46" s="77">
        <v>5269.34</v>
      </c>
      <c r="L46" s="39"/>
      <c r="M46" s="39">
        <f t="shared" si="5"/>
        <v>5322.0334000000003</v>
      </c>
      <c r="N46" s="39"/>
      <c r="O46" s="49" t="s">
        <v>89</v>
      </c>
      <c r="P46" s="1" t="str">
        <f t="shared" si="1"/>
        <v>*</v>
      </c>
      <c r="Q46" s="73"/>
      <c r="R46" s="73"/>
      <c r="S46" s="73"/>
      <c r="T46" s="73"/>
      <c r="U46" s="73"/>
      <c r="V46" s="77"/>
      <c r="W46" s="77"/>
    </row>
    <row r="47" spans="1:23" x14ac:dyDescent="0.25">
      <c r="A47" s="25"/>
      <c r="B47" s="73">
        <v>100</v>
      </c>
      <c r="C47" s="73">
        <v>4000</v>
      </c>
      <c r="D47" s="73">
        <v>8100</v>
      </c>
      <c r="E47" s="73">
        <v>350</v>
      </c>
      <c r="F47" s="76" t="s">
        <v>117</v>
      </c>
      <c r="G47" s="39"/>
      <c r="H47" s="39"/>
      <c r="I47" s="39"/>
      <c r="J47" s="39"/>
      <c r="K47" s="77">
        <v>2802.5999999999995</v>
      </c>
      <c r="L47" s="39"/>
      <c r="M47" s="134">
        <f>(K47+K48)*Inf-M48</f>
        <v>1360.4340000000002</v>
      </c>
      <c r="N47" s="39"/>
      <c r="O47" s="49" t="s">
        <v>89</v>
      </c>
      <c r="P47" s="1" t="str">
        <f t="shared" si="1"/>
        <v>*</v>
      </c>
      <c r="Q47" s="73"/>
      <c r="R47" s="73"/>
      <c r="S47" s="73"/>
      <c r="T47" s="73"/>
      <c r="U47" s="73"/>
      <c r="V47" s="77"/>
      <c r="W47" s="77"/>
    </row>
    <row r="48" spans="1:23" x14ac:dyDescent="0.25">
      <c r="A48" s="25"/>
      <c r="B48" s="73">
        <v>360</v>
      </c>
      <c r="C48" s="73">
        <v>4000</v>
      </c>
      <c r="D48" s="73">
        <v>8100</v>
      </c>
      <c r="E48" s="73">
        <v>350</v>
      </c>
      <c r="F48" s="76" t="s">
        <v>117</v>
      </c>
      <c r="G48" s="39"/>
      <c r="H48" s="39"/>
      <c r="I48" s="39"/>
      <c r="J48" s="39"/>
      <c r="K48" s="77">
        <v>0</v>
      </c>
      <c r="L48" s="39"/>
      <c r="M48" s="39">
        <f>'Rev Input'!J19-'Expense Input'!M31</f>
        <v>1470.1919999999991</v>
      </c>
      <c r="N48" s="39"/>
      <c r="O48" s="49" t="s">
        <v>89</v>
      </c>
      <c r="P48" s="1" t="str">
        <f t="shared" ref="P48" si="7">IF((M48)&gt;0.49,"*","")</f>
        <v>*</v>
      </c>
      <c r="Q48" s="73"/>
      <c r="R48" s="73"/>
      <c r="S48" s="73"/>
      <c r="T48" s="73"/>
      <c r="U48" s="73"/>
      <c r="V48" s="77"/>
      <c r="W48" s="77"/>
    </row>
    <row r="49" spans="1:23" x14ac:dyDescent="0.25">
      <c r="A49" s="25"/>
      <c r="B49" s="73">
        <v>100</v>
      </c>
      <c r="C49" s="73">
        <v>4000</v>
      </c>
      <c r="D49" s="73">
        <v>9100</v>
      </c>
      <c r="E49" s="73">
        <v>705</v>
      </c>
      <c r="F49" s="76" t="s">
        <v>97</v>
      </c>
      <c r="G49" s="39"/>
      <c r="H49" s="39"/>
      <c r="I49" s="39"/>
      <c r="J49" s="39"/>
      <c r="K49" s="77">
        <v>1680.04</v>
      </c>
      <c r="L49" s="39"/>
      <c r="M49" s="39">
        <f t="shared" si="5"/>
        <v>1696.8404</v>
      </c>
      <c r="N49" s="39"/>
      <c r="O49" s="49" t="s">
        <v>89</v>
      </c>
      <c r="P49" s="1" t="str">
        <f t="shared" si="1"/>
        <v>*</v>
      </c>
      <c r="Q49" s="73"/>
      <c r="R49" s="73"/>
      <c r="S49" s="73"/>
      <c r="T49" s="73"/>
      <c r="U49" s="73"/>
      <c r="V49" s="77"/>
      <c r="W49" s="77"/>
    </row>
    <row r="50" spans="1:23" hidden="1" x14ac:dyDescent="0.25">
      <c r="A50" s="25"/>
      <c r="B50" s="73"/>
      <c r="C50" s="73"/>
      <c r="D50" s="73"/>
      <c r="E50" s="73"/>
      <c r="F50" s="76"/>
      <c r="G50" s="39"/>
      <c r="H50" s="39"/>
      <c r="I50" s="39"/>
      <c r="J50" s="39"/>
      <c r="K50" s="77"/>
      <c r="L50" s="39"/>
      <c r="M50" s="39">
        <f t="shared" si="5"/>
        <v>0</v>
      </c>
      <c r="N50" s="39"/>
      <c r="O50" s="49" t="s">
        <v>89</v>
      </c>
      <c r="P50" s="1" t="str">
        <f t="shared" si="1"/>
        <v/>
      </c>
      <c r="Q50" s="73"/>
      <c r="R50" s="73"/>
      <c r="S50" s="73"/>
      <c r="T50" s="73"/>
      <c r="U50" s="73"/>
      <c r="V50" s="77"/>
      <c r="W50" s="77"/>
    </row>
    <row r="51" spans="1:23" hidden="1" x14ac:dyDescent="0.25">
      <c r="A51" s="25"/>
      <c r="B51" s="79"/>
      <c r="C51" s="79"/>
      <c r="D51" s="79"/>
      <c r="E51" s="79"/>
      <c r="F51" s="80"/>
      <c r="G51" s="39"/>
      <c r="H51" s="39"/>
      <c r="I51" s="39"/>
      <c r="J51" s="39"/>
      <c r="K51" s="81"/>
      <c r="L51" s="39"/>
      <c r="M51" s="57"/>
      <c r="N51" s="57"/>
      <c r="O51" s="62"/>
      <c r="P51" s="1" t="str">
        <f t="shared" si="1"/>
        <v/>
      </c>
      <c r="Q51" s="73"/>
      <c r="R51" s="73"/>
      <c r="S51" s="73"/>
      <c r="T51" s="73"/>
      <c r="U51" s="73"/>
      <c r="V51" s="77"/>
      <c r="W51" s="77"/>
    </row>
    <row r="52" spans="1:23" hidden="1" x14ac:dyDescent="0.25">
      <c r="A52" s="25"/>
      <c r="B52" s="79"/>
      <c r="C52" s="79"/>
      <c r="D52" s="79"/>
      <c r="E52" s="79"/>
      <c r="F52" s="80"/>
      <c r="G52" s="39"/>
      <c r="H52" s="39"/>
      <c r="I52" s="39"/>
      <c r="J52" s="39"/>
      <c r="K52" s="81"/>
      <c r="L52" s="39"/>
      <c r="M52" s="57"/>
      <c r="N52" s="57"/>
      <c r="O52" s="62"/>
      <c r="P52" s="1" t="str">
        <f t="shared" si="1"/>
        <v/>
      </c>
      <c r="Q52" s="73"/>
      <c r="R52" s="73"/>
      <c r="S52" s="73"/>
      <c r="T52" s="73"/>
      <c r="U52" s="73"/>
      <c r="V52" s="77"/>
      <c r="W52" s="77"/>
    </row>
    <row r="53" spans="1:23" hidden="1" x14ac:dyDescent="0.25">
      <c r="A53" s="25"/>
      <c r="B53" s="79"/>
      <c r="C53" s="79"/>
      <c r="D53" s="79"/>
      <c r="E53" s="79"/>
      <c r="F53" s="80"/>
      <c r="G53" s="39"/>
      <c r="H53" s="39"/>
      <c r="I53" s="39"/>
      <c r="J53" s="39"/>
      <c r="K53" s="81"/>
      <c r="L53" s="39"/>
      <c r="M53" s="57"/>
      <c r="N53" s="57"/>
      <c r="O53" s="62"/>
      <c r="P53" s="1" t="str">
        <f t="shared" si="1"/>
        <v/>
      </c>
      <c r="Q53" s="73"/>
      <c r="R53" s="73"/>
      <c r="S53" s="73"/>
      <c r="T53" s="73"/>
      <c r="U53" s="73"/>
      <c r="V53" s="77"/>
      <c r="W53" s="77"/>
    </row>
    <row r="54" spans="1:23" hidden="1" x14ac:dyDescent="0.25">
      <c r="A54" s="25"/>
      <c r="B54" s="73"/>
      <c r="C54" s="73"/>
      <c r="D54" s="73"/>
      <c r="E54" s="73"/>
      <c r="F54" s="76"/>
      <c r="G54" s="39"/>
      <c r="H54" s="39"/>
      <c r="I54" s="39"/>
      <c r="J54" s="39"/>
      <c r="K54" s="77"/>
      <c r="L54" s="39"/>
      <c r="M54" s="57"/>
      <c r="N54" s="57"/>
      <c r="O54" s="62"/>
      <c r="P54" s="1" t="str">
        <f t="shared" si="1"/>
        <v/>
      </c>
      <c r="Q54" s="73"/>
      <c r="R54" s="73"/>
      <c r="S54" s="73"/>
      <c r="T54" s="73"/>
      <c r="U54" s="73"/>
      <c r="V54" s="77"/>
      <c r="W54" s="77"/>
    </row>
    <row r="55" spans="1:23" hidden="1" x14ac:dyDescent="0.25">
      <c r="A55" s="25"/>
      <c r="B55" s="73"/>
      <c r="C55" s="73"/>
      <c r="D55" s="73"/>
      <c r="E55" s="73"/>
      <c r="F55" s="76"/>
      <c r="G55" s="39"/>
      <c r="H55" s="39"/>
      <c r="I55" s="39"/>
      <c r="J55" s="39"/>
      <c r="K55" s="77"/>
      <c r="L55" s="39"/>
      <c r="M55" s="57"/>
      <c r="N55" s="57"/>
      <c r="O55" s="62"/>
      <c r="P55" s="1" t="str">
        <f t="shared" si="1"/>
        <v/>
      </c>
      <c r="Q55" s="73"/>
      <c r="R55" s="73"/>
      <c r="S55" s="73"/>
      <c r="T55" s="73"/>
      <c r="U55" s="73"/>
      <c r="V55" s="77"/>
      <c r="W55" s="77"/>
    </row>
    <row r="56" spans="1:23" hidden="1" x14ac:dyDescent="0.25">
      <c r="A56" s="25"/>
      <c r="B56" s="73"/>
      <c r="C56" s="73"/>
      <c r="D56" s="73"/>
      <c r="E56" s="73"/>
      <c r="F56" s="76"/>
      <c r="G56" s="39"/>
      <c r="H56" s="39"/>
      <c r="I56" s="39"/>
      <c r="J56" s="39"/>
      <c r="K56" s="77"/>
      <c r="L56" s="39"/>
      <c r="M56" s="57"/>
      <c r="N56" s="57"/>
      <c r="O56" s="62"/>
      <c r="P56" s="1" t="str">
        <f t="shared" si="1"/>
        <v/>
      </c>
      <c r="Q56" s="73"/>
      <c r="R56" s="73"/>
      <c r="S56" s="73"/>
      <c r="T56" s="73"/>
      <c r="U56" s="73"/>
      <c r="V56" s="77"/>
      <c r="W56" s="77"/>
    </row>
    <row r="57" spans="1:23" hidden="1" x14ac:dyDescent="0.25">
      <c r="A57" s="25"/>
      <c r="B57" s="73"/>
      <c r="C57" s="73"/>
      <c r="D57" s="73"/>
      <c r="E57" s="73"/>
      <c r="F57" s="76"/>
      <c r="G57" s="39"/>
      <c r="H57" s="39"/>
      <c r="I57" s="39"/>
      <c r="J57" s="39"/>
      <c r="K57" s="77"/>
      <c r="L57" s="39"/>
      <c r="M57" s="57"/>
      <c r="N57" s="57"/>
      <c r="O57" s="62"/>
      <c r="P57" s="1" t="str">
        <f t="shared" si="1"/>
        <v/>
      </c>
      <c r="Q57" s="73"/>
      <c r="R57" s="73"/>
      <c r="S57" s="73"/>
      <c r="T57" s="73"/>
      <c r="U57" s="73"/>
      <c r="V57" s="77"/>
      <c r="W57" s="77"/>
    </row>
    <row r="58" spans="1:23" hidden="1" x14ac:dyDescent="0.25">
      <c r="A58" s="25"/>
      <c r="B58" s="73"/>
      <c r="C58" s="73"/>
      <c r="D58" s="73"/>
      <c r="E58" s="73"/>
      <c r="F58" s="76"/>
      <c r="G58" s="57"/>
      <c r="H58" s="57"/>
      <c r="I58" s="57"/>
      <c r="J58" s="57"/>
      <c r="K58" s="77"/>
      <c r="L58" s="57"/>
      <c r="M58" s="39"/>
      <c r="N58" s="39"/>
      <c r="O58" s="49"/>
      <c r="P58" s="1" t="str">
        <f t="shared" si="1"/>
        <v/>
      </c>
      <c r="Q58" s="73"/>
      <c r="R58" s="73"/>
      <c r="S58" s="73"/>
      <c r="T58" s="73"/>
      <c r="U58" s="73"/>
      <c r="V58" s="77"/>
      <c r="W58" s="77"/>
    </row>
    <row r="59" spans="1:23" hidden="1" x14ac:dyDescent="0.25">
      <c r="A59" s="25"/>
      <c r="B59" s="73"/>
      <c r="C59" s="73"/>
      <c r="D59" s="73"/>
      <c r="E59" s="73"/>
      <c r="F59" s="76"/>
      <c r="G59" s="57"/>
      <c r="H59" s="57"/>
      <c r="I59" s="57"/>
      <c r="J59" s="57"/>
      <c r="K59" s="77"/>
      <c r="L59" s="57"/>
      <c r="M59" s="39"/>
      <c r="N59" s="39"/>
      <c r="O59" s="49"/>
      <c r="P59" s="1" t="str">
        <f t="shared" si="1"/>
        <v/>
      </c>
      <c r="Q59" s="73"/>
      <c r="R59" s="73"/>
      <c r="S59" s="73"/>
      <c r="T59" s="73"/>
      <c r="U59" s="73"/>
      <c r="V59" s="77"/>
      <c r="W59" s="77"/>
    </row>
    <row r="60" spans="1:23" hidden="1" x14ac:dyDescent="0.25">
      <c r="A60" s="60"/>
      <c r="B60" s="73"/>
      <c r="C60" s="73"/>
      <c r="D60" s="73"/>
      <c r="E60" s="73"/>
      <c r="F60" s="76"/>
      <c r="G60" s="57"/>
      <c r="H60" s="57"/>
      <c r="I60" s="57"/>
      <c r="J60" s="57"/>
      <c r="K60" s="77"/>
      <c r="L60" s="57"/>
      <c r="M60" s="39"/>
      <c r="N60" s="39"/>
      <c r="O60" s="49"/>
      <c r="P60" s="1" t="str">
        <f>IF((M60)&gt;0.49,"*","")</f>
        <v/>
      </c>
      <c r="Q60" s="73"/>
      <c r="R60" s="73"/>
      <c r="S60" s="73"/>
      <c r="T60" s="73"/>
      <c r="U60" s="73"/>
      <c r="V60" s="77"/>
    </row>
    <row r="61" spans="1:23" hidden="1" x14ac:dyDescent="0.25">
      <c r="A61" s="25"/>
      <c r="B61" s="73"/>
      <c r="C61" s="73"/>
      <c r="D61" s="73"/>
      <c r="E61" s="73"/>
      <c r="F61" s="76"/>
      <c r="G61" s="39"/>
      <c r="H61" s="39"/>
      <c r="I61" s="39"/>
      <c r="J61" s="39"/>
      <c r="K61" s="77"/>
      <c r="L61" s="39"/>
      <c r="M61" s="39"/>
      <c r="N61" s="39"/>
      <c r="O61" s="49"/>
      <c r="P61" s="1" t="str">
        <f>IF((M61)&gt;0.49,"*","")</f>
        <v/>
      </c>
      <c r="Q61" s="73"/>
      <c r="R61" s="73"/>
      <c r="S61" s="73"/>
      <c r="T61" s="73"/>
      <c r="U61" s="73"/>
      <c r="V61" s="77"/>
    </row>
    <row r="62" spans="1:23" hidden="1" x14ac:dyDescent="0.25">
      <c r="A62" s="25"/>
      <c r="B62" s="73"/>
      <c r="C62" s="73"/>
      <c r="D62" s="73"/>
      <c r="E62" s="73"/>
      <c r="F62" s="76"/>
      <c r="G62" s="39"/>
      <c r="H62" s="39"/>
      <c r="I62" s="39"/>
      <c r="J62" s="39"/>
      <c r="K62" s="77"/>
      <c r="L62" s="39"/>
      <c r="M62" s="57"/>
      <c r="N62" s="57"/>
      <c r="O62" s="62"/>
      <c r="P62" s="1" t="str">
        <f t="shared" ref="P62:P87" si="8">IF(M62&gt;0.49,"*","")</f>
        <v/>
      </c>
      <c r="Q62" s="73"/>
      <c r="R62" s="73"/>
      <c r="S62" s="73"/>
      <c r="T62" s="73"/>
      <c r="U62" s="73"/>
      <c r="V62" s="77"/>
    </row>
    <row r="63" spans="1:23" hidden="1" x14ac:dyDescent="0.25">
      <c r="A63" s="25"/>
      <c r="B63" s="73"/>
      <c r="C63" s="73"/>
      <c r="D63" s="73"/>
      <c r="E63" s="73"/>
      <c r="F63" s="76"/>
      <c r="G63" s="39"/>
      <c r="H63" s="39"/>
      <c r="I63" s="39"/>
      <c r="J63" s="39"/>
      <c r="K63" s="77"/>
      <c r="L63" s="39"/>
      <c r="M63" s="57"/>
      <c r="N63" s="57"/>
      <c r="O63" s="62"/>
      <c r="P63" s="1" t="str">
        <f t="shared" si="8"/>
        <v/>
      </c>
      <c r="Q63" s="73"/>
      <c r="R63" s="73"/>
      <c r="S63" s="73"/>
      <c r="T63" s="73"/>
      <c r="U63" s="73"/>
      <c r="V63" s="77"/>
    </row>
    <row r="64" spans="1:23" hidden="1" x14ac:dyDescent="0.25">
      <c r="A64" s="25"/>
      <c r="B64" s="73"/>
      <c r="C64" s="73"/>
      <c r="D64" s="73"/>
      <c r="E64" s="73"/>
      <c r="F64" s="76"/>
      <c r="G64" s="39"/>
      <c r="H64" s="39"/>
      <c r="I64" s="39"/>
      <c r="J64" s="39"/>
      <c r="K64" s="77"/>
      <c r="L64" s="39"/>
      <c r="M64" s="57"/>
      <c r="N64" s="57"/>
      <c r="O64" s="62"/>
      <c r="P64" s="1" t="str">
        <f t="shared" si="8"/>
        <v/>
      </c>
      <c r="Q64" s="73"/>
    </row>
    <row r="65" spans="1:22" s="64" customFormat="1" hidden="1" x14ac:dyDescent="0.25">
      <c r="A65" s="31"/>
      <c r="B65" s="79"/>
      <c r="C65" s="79"/>
      <c r="D65" s="79"/>
      <c r="E65" s="79"/>
      <c r="F65" s="80"/>
      <c r="G65" s="57"/>
      <c r="H65" s="57"/>
      <c r="I65" s="57"/>
      <c r="J65" s="57"/>
      <c r="K65" s="81"/>
      <c r="L65" s="57"/>
      <c r="M65" s="57"/>
      <c r="N65" s="57"/>
      <c r="O65" s="62"/>
      <c r="Q65" s="1"/>
      <c r="R65" s="1"/>
      <c r="S65" s="1"/>
      <c r="T65" s="1"/>
      <c r="U65" s="1"/>
      <c r="V65" s="1"/>
    </row>
    <row r="66" spans="1:22" hidden="1" x14ac:dyDescent="0.25">
      <c r="A66" s="25"/>
      <c r="B66" s="33"/>
      <c r="C66" s="33"/>
      <c r="D66" s="33"/>
      <c r="E66" s="33"/>
      <c r="F66" s="33"/>
      <c r="G66" s="39"/>
      <c r="H66" s="39"/>
      <c r="I66" s="39"/>
      <c r="J66" s="39"/>
      <c r="K66" s="39"/>
      <c r="L66" s="39"/>
      <c r="M66" s="39"/>
      <c r="N66" s="39"/>
      <c r="O66" s="49"/>
      <c r="P66" s="1" t="str">
        <f t="shared" si="8"/>
        <v/>
      </c>
    </row>
    <row r="67" spans="1:22" hidden="1" x14ac:dyDescent="0.25">
      <c r="A67" s="25"/>
      <c r="B67" s="33"/>
      <c r="C67" s="33"/>
      <c r="D67" s="33"/>
      <c r="E67" s="33"/>
      <c r="F67" s="33"/>
      <c r="G67" s="39"/>
      <c r="H67" s="39"/>
      <c r="I67" s="39"/>
      <c r="J67" s="39"/>
      <c r="K67" s="39"/>
      <c r="L67" s="39"/>
      <c r="M67" s="39"/>
      <c r="N67" s="39"/>
      <c r="O67" s="49"/>
      <c r="P67" s="1" t="str">
        <f t="shared" si="8"/>
        <v/>
      </c>
    </row>
    <row r="68" spans="1:22" hidden="1" x14ac:dyDescent="0.25">
      <c r="A68" s="25"/>
      <c r="B68" s="33"/>
      <c r="C68" s="33"/>
      <c r="D68" s="33"/>
      <c r="E68" s="33"/>
      <c r="F68" s="33"/>
      <c r="G68" s="39"/>
      <c r="H68" s="39"/>
      <c r="I68" s="39"/>
      <c r="J68" s="39"/>
      <c r="K68" s="39"/>
      <c r="L68" s="39"/>
      <c r="M68" s="39"/>
      <c r="N68" s="39"/>
      <c r="O68" s="49"/>
      <c r="P68" s="1" t="str">
        <f t="shared" si="8"/>
        <v/>
      </c>
    </row>
    <row r="69" spans="1:22" hidden="1" x14ac:dyDescent="0.25">
      <c r="A69" s="25"/>
      <c r="B69" s="33"/>
      <c r="C69" s="33"/>
      <c r="D69" s="33"/>
      <c r="E69" s="33"/>
      <c r="F69" s="33"/>
      <c r="G69" s="39"/>
      <c r="H69" s="39"/>
      <c r="I69" s="39"/>
      <c r="J69" s="39"/>
      <c r="K69" s="39"/>
      <c r="L69" s="39"/>
      <c r="M69" s="39"/>
      <c r="N69" s="39"/>
      <c r="O69" s="49"/>
      <c r="P69" s="1" t="str">
        <f t="shared" si="8"/>
        <v/>
      </c>
      <c r="Q69" s="64"/>
      <c r="R69" s="64"/>
      <c r="S69" s="64"/>
      <c r="T69" s="64"/>
      <c r="U69" s="64"/>
      <c r="V69" s="64"/>
    </row>
    <row r="70" spans="1:22" hidden="1" x14ac:dyDescent="0.25">
      <c r="A70" s="25"/>
      <c r="B70" s="33"/>
      <c r="C70" s="33"/>
      <c r="D70" s="33"/>
      <c r="E70" s="33"/>
      <c r="F70" s="33"/>
      <c r="G70" s="39"/>
      <c r="H70" s="39"/>
      <c r="I70" s="39"/>
      <c r="J70" s="39"/>
      <c r="K70" s="39"/>
      <c r="L70" s="39"/>
      <c r="M70" s="39"/>
      <c r="N70" s="39"/>
      <c r="O70" s="49"/>
      <c r="P70" s="1" t="str">
        <f t="shared" si="8"/>
        <v/>
      </c>
    </row>
    <row r="71" spans="1:22" hidden="1" x14ac:dyDescent="0.25">
      <c r="A71" s="25"/>
      <c r="B71" s="33"/>
      <c r="C71" s="33"/>
      <c r="D71" s="33"/>
      <c r="E71" s="33"/>
      <c r="F71" s="33"/>
      <c r="G71" s="39"/>
      <c r="H71" s="39"/>
      <c r="I71" s="39"/>
      <c r="J71" s="39"/>
      <c r="K71" s="39"/>
      <c r="L71" s="39"/>
      <c r="M71" s="39"/>
      <c r="N71" s="39"/>
      <c r="O71" s="49"/>
      <c r="P71" s="1" t="str">
        <f t="shared" si="8"/>
        <v/>
      </c>
    </row>
    <row r="72" spans="1:22" hidden="1" x14ac:dyDescent="0.25">
      <c r="A72" s="25"/>
      <c r="B72" s="33"/>
      <c r="C72" s="33"/>
      <c r="D72" s="33"/>
      <c r="E72" s="33"/>
      <c r="F72" s="33"/>
      <c r="G72" s="39"/>
      <c r="H72" s="39"/>
      <c r="I72" s="39"/>
      <c r="J72" s="39"/>
      <c r="K72" s="39"/>
      <c r="L72" s="39"/>
      <c r="M72" s="39"/>
      <c r="N72" s="39"/>
      <c r="O72" s="49"/>
      <c r="P72" s="1" t="str">
        <f t="shared" si="8"/>
        <v/>
      </c>
    </row>
    <row r="73" spans="1:22" hidden="1" x14ac:dyDescent="0.25">
      <c r="A73" s="25"/>
      <c r="B73" s="33"/>
      <c r="C73" s="33"/>
      <c r="D73" s="33"/>
      <c r="E73" s="33"/>
      <c r="F73" s="33"/>
      <c r="G73" s="39"/>
      <c r="H73" s="39"/>
      <c r="I73" s="39"/>
      <c r="J73" s="39"/>
      <c r="K73" s="39"/>
      <c r="L73" s="39"/>
      <c r="M73" s="39"/>
      <c r="N73" s="39"/>
      <c r="O73" s="49"/>
      <c r="P73" s="1" t="str">
        <f t="shared" si="8"/>
        <v/>
      </c>
    </row>
    <row r="74" spans="1:22" hidden="1" x14ac:dyDescent="0.25">
      <c r="B74" s="33"/>
      <c r="C74" s="33"/>
      <c r="D74" s="33"/>
      <c r="E74" s="33"/>
      <c r="F74" s="36"/>
      <c r="G74" s="39"/>
      <c r="H74" s="39"/>
      <c r="I74" s="39"/>
      <c r="J74" s="39"/>
      <c r="K74" s="39"/>
      <c r="L74" s="39"/>
      <c r="M74" s="39"/>
      <c r="N74" s="39"/>
      <c r="O74" s="49"/>
      <c r="P74" s="1" t="str">
        <f t="shared" si="8"/>
        <v/>
      </c>
    </row>
    <row r="75" spans="1:22" hidden="1" x14ac:dyDescent="0.25">
      <c r="B75" s="33"/>
      <c r="C75" s="33"/>
      <c r="D75" s="33"/>
      <c r="E75" s="33"/>
      <c r="F75" s="36"/>
      <c r="G75" s="39"/>
      <c r="H75" s="39"/>
      <c r="I75" s="39"/>
      <c r="J75" s="39"/>
      <c r="K75" s="39"/>
      <c r="L75" s="39"/>
      <c r="M75" s="39"/>
      <c r="N75" s="39"/>
      <c r="O75" s="49"/>
      <c r="P75" s="1" t="str">
        <f t="shared" si="8"/>
        <v/>
      </c>
    </row>
    <row r="76" spans="1:22" ht="12" hidden="1" customHeight="1" x14ac:dyDescent="0.25">
      <c r="A76" s="25"/>
      <c r="B76" s="33"/>
      <c r="C76" s="33"/>
      <c r="D76" s="33"/>
      <c r="E76" s="33"/>
      <c r="F76" s="36"/>
      <c r="G76" s="39"/>
      <c r="H76" s="39"/>
      <c r="I76" s="39"/>
      <c r="J76" s="39"/>
      <c r="K76" s="39"/>
      <c r="L76" s="39"/>
      <c r="M76" s="39"/>
      <c r="N76" s="39"/>
      <c r="O76" s="49"/>
      <c r="P76" s="1" t="str">
        <f t="shared" si="8"/>
        <v/>
      </c>
    </row>
    <row r="77" spans="1:22" hidden="1" x14ac:dyDescent="0.25">
      <c r="A77" s="25"/>
      <c r="B77" s="34"/>
      <c r="C77" s="34"/>
      <c r="D77" s="34"/>
      <c r="E77" s="34"/>
      <c r="F77" s="34"/>
      <c r="G77" s="39"/>
      <c r="H77" s="39"/>
      <c r="I77" s="39"/>
      <c r="J77" s="39"/>
      <c r="K77" s="39"/>
      <c r="L77" s="39"/>
      <c r="M77" s="39"/>
      <c r="N77" s="39"/>
      <c r="O77" s="49"/>
      <c r="P77" s="1" t="str">
        <f t="shared" si="8"/>
        <v/>
      </c>
    </row>
    <row r="78" spans="1:22" hidden="1" x14ac:dyDescent="0.25">
      <c r="A78" s="25"/>
      <c r="B78" s="34"/>
      <c r="C78" s="34"/>
      <c r="D78" s="34"/>
      <c r="E78" s="34"/>
      <c r="F78" s="34"/>
      <c r="G78" s="39"/>
      <c r="H78" s="39"/>
      <c r="I78" s="39"/>
      <c r="J78" s="39"/>
      <c r="K78" s="39"/>
      <c r="L78" s="39"/>
      <c r="M78" s="39"/>
      <c r="N78" s="39"/>
      <c r="O78" s="49"/>
      <c r="P78" s="1" t="str">
        <f t="shared" si="8"/>
        <v/>
      </c>
    </row>
    <row r="79" spans="1:22" hidden="1" x14ac:dyDescent="0.25">
      <c r="A79" s="25"/>
      <c r="B79" s="34"/>
      <c r="C79" s="34"/>
      <c r="D79" s="34"/>
      <c r="E79" s="34"/>
      <c r="F79" s="34"/>
      <c r="G79" s="39"/>
      <c r="H79" s="39"/>
      <c r="I79" s="39"/>
      <c r="J79" s="39"/>
      <c r="K79" s="39"/>
      <c r="L79" s="39"/>
      <c r="M79" s="39"/>
      <c r="N79" s="39"/>
      <c r="O79" s="49"/>
      <c r="P79" s="1" t="str">
        <f t="shared" si="8"/>
        <v/>
      </c>
    </row>
    <row r="80" spans="1:22" hidden="1" x14ac:dyDescent="0.25">
      <c r="A80" s="25"/>
      <c r="B80" s="34"/>
      <c r="C80" s="34"/>
      <c r="D80" s="34"/>
      <c r="E80" s="34"/>
      <c r="F80" s="34"/>
      <c r="G80" s="39"/>
      <c r="H80" s="39"/>
      <c r="I80" s="39"/>
      <c r="J80" s="39"/>
      <c r="K80" s="39"/>
      <c r="L80" s="39"/>
      <c r="M80" s="39"/>
      <c r="N80" s="39"/>
      <c r="O80" s="49"/>
      <c r="P80" s="1" t="str">
        <f t="shared" si="8"/>
        <v/>
      </c>
    </row>
    <row r="81" spans="1:16" hidden="1" x14ac:dyDescent="0.25">
      <c r="A81" s="25"/>
      <c r="B81" s="33"/>
      <c r="C81" s="33"/>
      <c r="D81" s="33"/>
      <c r="E81" s="33"/>
      <c r="F81" s="33"/>
      <c r="G81" s="39"/>
      <c r="H81" s="39"/>
      <c r="I81" s="39"/>
      <c r="J81" s="39"/>
      <c r="K81" s="39"/>
      <c r="L81" s="39"/>
      <c r="M81" s="39"/>
      <c r="N81" s="39"/>
      <c r="O81" s="49"/>
      <c r="P81" s="1" t="str">
        <f t="shared" si="8"/>
        <v/>
      </c>
    </row>
    <row r="82" spans="1:16" hidden="1" x14ac:dyDescent="0.25">
      <c r="A82" s="25"/>
      <c r="B82" s="33"/>
      <c r="C82" s="33"/>
      <c r="D82" s="33"/>
      <c r="E82" s="33"/>
      <c r="F82" s="33"/>
      <c r="G82" s="39"/>
      <c r="H82" s="39"/>
      <c r="I82" s="39"/>
      <c r="J82" s="39"/>
      <c r="K82" s="39"/>
      <c r="L82" s="39"/>
      <c r="M82" s="39"/>
      <c r="N82" s="39"/>
      <c r="O82" s="49"/>
      <c r="P82" s="1" t="str">
        <f t="shared" si="8"/>
        <v/>
      </c>
    </row>
    <row r="83" spans="1:16" hidden="1" x14ac:dyDescent="0.25">
      <c r="A83" s="25"/>
      <c r="B83" s="33"/>
      <c r="C83" s="33"/>
      <c r="D83" s="33"/>
      <c r="E83" s="33"/>
      <c r="F83" s="33"/>
      <c r="G83" s="39"/>
      <c r="H83" s="39"/>
      <c r="I83" s="39"/>
      <c r="J83" s="39"/>
      <c r="K83" s="39"/>
      <c r="L83" s="39"/>
      <c r="M83" s="39"/>
      <c r="N83" s="39"/>
      <c r="O83" s="49"/>
      <c r="P83" s="1" t="str">
        <f t="shared" si="8"/>
        <v/>
      </c>
    </row>
    <row r="84" spans="1:16" hidden="1" x14ac:dyDescent="0.25">
      <c r="A84" s="25"/>
      <c r="B84" s="33"/>
      <c r="C84" s="33"/>
      <c r="D84" s="33"/>
      <c r="E84" s="33"/>
      <c r="F84" s="33"/>
      <c r="G84" s="39"/>
      <c r="H84" s="39"/>
      <c r="I84" s="39"/>
      <c r="J84" s="39"/>
      <c r="K84" s="39"/>
      <c r="L84" s="39"/>
      <c r="M84" s="39"/>
      <c r="N84" s="39"/>
      <c r="O84" s="49"/>
      <c r="P84" s="1" t="str">
        <f t="shared" si="8"/>
        <v/>
      </c>
    </row>
    <row r="85" spans="1:16" hidden="1" x14ac:dyDescent="0.25">
      <c r="A85" s="25"/>
      <c r="B85" s="33"/>
      <c r="C85" s="33"/>
      <c r="D85" s="33"/>
      <c r="E85" s="33"/>
      <c r="F85" s="33"/>
      <c r="G85" s="39"/>
      <c r="H85" s="39"/>
      <c r="I85" s="39"/>
      <c r="J85" s="39"/>
      <c r="K85" s="39"/>
      <c r="L85" s="39"/>
      <c r="M85" s="39"/>
      <c r="N85" s="39"/>
      <c r="O85" s="49"/>
      <c r="P85" s="1" t="str">
        <f t="shared" si="8"/>
        <v/>
      </c>
    </row>
    <row r="86" spans="1:16" hidden="1" x14ac:dyDescent="0.25">
      <c r="A86" s="25"/>
      <c r="B86" s="33"/>
      <c r="C86" s="33"/>
      <c r="D86" s="33"/>
      <c r="E86" s="33"/>
      <c r="F86" s="33"/>
      <c r="G86" s="39"/>
      <c r="H86" s="39"/>
      <c r="I86" s="39"/>
      <c r="J86" s="39"/>
      <c r="K86" s="39"/>
      <c r="L86" s="39"/>
      <c r="M86" s="39"/>
      <c r="N86" s="39"/>
      <c r="O86" s="49"/>
      <c r="P86" s="1" t="str">
        <f t="shared" si="8"/>
        <v/>
      </c>
    </row>
    <row r="87" spans="1:16" hidden="1" x14ac:dyDescent="0.25">
      <c r="A87" s="25"/>
      <c r="B87" s="33"/>
      <c r="C87" s="33"/>
      <c r="D87" s="33"/>
      <c r="E87" s="33"/>
      <c r="F87" s="33"/>
      <c r="G87" s="39"/>
      <c r="H87" s="39"/>
      <c r="I87" s="39"/>
      <c r="J87" s="39"/>
      <c r="K87" s="39"/>
      <c r="L87" s="39"/>
      <c r="M87" s="39"/>
      <c r="N87" s="39"/>
      <c r="O87" s="49"/>
      <c r="P87" s="1" t="str">
        <f t="shared" si="8"/>
        <v/>
      </c>
    </row>
    <row r="88" spans="1:16" hidden="1" x14ac:dyDescent="0.25">
      <c r="A88" s="25"/>
      <c r="B88" s="33"/>
      <c r="C88" s="33"/>
      <c r="D88" s="33"/>
      <c r="E88" s="33"/>
      <c r="F88" s="33"/>
      <c r="G88" s="39"/>
      <c r="H88" s="39"/>
      <c r="I88" s="39"/>
      <c r="J88" s="39"/>
      <c r="K88" s="39"/>
      <c r="L88" s="39"/>
      <c r="M88" s="39"/>
      <c r="N88" s="39"/>
      <c r="O88" s="49"/>
      <c r="P88" s="1" t="str">
        <f>IF(M88&gt;0.49,"*","")</f>
        <v/>
      </c>
    </row>
    <row r="89" spans="1:16" hidden="1" x14ac:dyDescent="0.25">
      <c r="A89" s="25"/>
      <c r="B89" s="33"/>
      <c r="C89" s="33"/>
      <c r="D89" s="33"/>
      <c r="E89" s="33"/>
      <c r="F89" s="33"/>
      <c r="G89" s="39"/>
      <c r="H89" s="39"/>
      <c r="I89" s="39"/>
      <c r="J89" s="39"/>
      <c r="K89" s="39"/>
      <c r="L89" s="39"/>
      <c r="M89" s="39"/>
      <c r="N89" s="39"/>
      <c r="O89" s="49"/>
      <c r="P89" s="1" t="str">
        <f>IF(M89&gt;0.49,"*","")</f>
        <v/>
      </c>
    </row>
    <row r="90" spans="1:16" hidden="1" x14ac:dyDescent="0.25">
      <c r="A90" s="25"/>
      <c r="B90" s="33"/>
      <c r="C90" s="33"/>
      <c r="D90" s="33"/>
      <c r="E90" s="33"/>
      <c r="F90" s="33"/>
      <c r="G90" s="39"/>
      <c r="H90" s="39"/>
      <c r="I90" s="39"/>
      <c r="J90" s="39"/>
      <c r="K90" s="39"/>
      <c r="L90" s="39"/>
      <c r="M90" s="39"/>
      <c r="N90" s="39"/>
      <c r="O90" s="49"/>
      <c r="P90" s="1" t="str">
        <f>IF(M90&gt;0.49,"*","")</f>
        <v/>
      </c>
    </row>
    <row r="91" spans="1:16" x14ac:dyDescent="0.25">
      <c r="A91" s="25"/>
      <c r="B91" s="36"/>
      <c r="C91" s="36"/>
      <c r="D91" s="36"/>
      <c r="E91" s="36"/>
      <c r="F91" s="36"/>
      <c r="G91" s="39"/>
      <c r="H91" s="39"/>
      <c r="I91" s="39"/>
      <c r="J91" s="57"/>
      <c r="K91" s="57"/>
      <c r="L91" s="57"/>
      <c r="M91" s="57"/>
      <c r="N91" s="57"/>
      <c r="O91" s="57"/>
      <c r="P91" s="1" t="str">
        <f>IF(M92&gt;0.49,"*","")</f>
        <v>*</v>
      </c>
    </row>
    <row r="92" spans="1:16" x14ac:dyDescent="0.25">
      <c r="A92" s="25"/>
      <c r="B92" s="31"/>
      <c r="C92" s="31"/>
      <c r="D92" s="31"/>
      <c r="E92" s="31"/>
      <c r="F92" s="31"/>
      <c r="G92" s="39">
        <f>SUM(G8:G90)</f>
        <v>0</v>
      </c>
      <c r="H92" s="39"/>
      <c r="I92" s="39">
        <f>SUM(I8:I90)</f>
        <v>0</v>
      </c>
      <c r="J92" s="57"/>
      <c r="K92" s="57">
        <f>SUM(K8:K90)</f>
        <v>479642.58999999997</v>
      </c>
      <c r="L92" s="57"/>
      <c r="M92" s="57">
        <f>SUM(M8:M90)</f>
        <v>485010.24203599989</v>
      </c>
      <c r="N92" s="57"/>
      <c r="O92" s="57"/>
      <c r="P92" s="1" t="s">
        <v>65</v>
      </c>
    </row>
    <row r="93" spans="1:16" hidden="1" x14ac:dyDescent="0.25">
      <c r="A93" s="25"/>
      <c r="B93" s="25"/>
      <c r="C93" s="25"/>
      <c r="D93" s="25"/>
      <c r="E93" s="25"/>
      <c r="F93" s="25"/>
      <c r="G93" s="35"/>
      <c r="H93" s="35"/>
      <c r="I93" s="35"/>
      <c r="J93" s="35"/>
      <c r="K93" s="35"/>
      <c r="L93" s="35"/>
      <c r="M93" s="35"/>
      <c r="N93" s="35"/>
      <c r="O93" s="35"/>
    </row>
    <row r="94" spans="1:16" hidden="1" x14ac:dyDescent="0.25">
      <c r="A94" s="25"/>
      <c r="B94" s="25"/>
      <c r="C94" s="25"/>
      <c r="D94" s="25"/>
      <c r="E94" s="25"/>
      <c r="F94" s="25"/>
      <c r="G94" s="35"/>
      <c r="H94" s="35"/>
      <c r="I94" s="35"/>
      <c r="J94" s="35"/>
      <c r="K94" s="35"/>
      <c r="L94" s="35"/>
      <c r="M94" s="35"/>
      <c r="N94" s="35"/>
      <c r="O94" s="35"/>
    </row>
    <row r="95" spans="1:16" hidden="1" x14ac:dyDescent="0.25">
      <c r="A95" s="25"/>
      <c r="B95" s="25"/>
      <c r="C95" s="25"/>
      <c r="D95" s="25"/>
      <c r="E95" s="25"/>
      <c r="F95" s="25"/>
      <c r="G95" s="35"/>
      <c r="H95" s="35"/>
      <c r="I95" s="35"/>
      <c r="J95" s="35"/>
      <c r="K95" s="35"/>
      <c r="L95" s="35"/>
      <c r="M95" s="35"/>
      <c r="N95" s="35"/>
      <c r="O95" s="35"/>
    </row>
    <row r="96" spans="1:16" hidden="1" x14ac:dyDescent="0.25">
      <c r="A96" s="25"/>
      <c r="B96" s="25"/>
      <c r="C96" s="25"/>
      <c r="D96" s="25"/>
      <c r="E96" s="25"/>
      <c r="F96" s="2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idden="1" x14ac:dyDescent="0.25">
      <c r="A97" s="25"/>
      <c r="B97" s="25"/>
      <c r="C97" s="25"/>
      <c r="D97" s="25"/>
      <c r="E97" s="25"/>
      <c r="F97" s="2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idden="1" x14ac:dyDescent="0.25">
      <c r="A98" s="25"/>
      <c r="B98" s="25"/>
      <c r="C98" s="25"/>
      <c r="D98" s="25"/>
      <c r="E98" s="25"/>
      <c r="F98" s="2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idden="1" x14ac:dyDescent="0.25">
      <c r="A99" s="25"/>
      <c r="B99" s="25"/>
      <c r="C99" s="25"/>
      <c r="D99" s="25"/>
      <c r="E99" s="25"/>
      <c r="F99" s="2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idden="1" x14ac:dyDescent="0.25">
      <c r="A100" s="25"/>
      <c r="B100" s="25"/>
      <c r="C100" s="25"/>
      <c r="D100" s="25"/>
      <c r="E100" s="25"/>
      <c r="F100" s="2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idden="1" x14ac:dyDescent="0.25">
      <c r="A101" s="25"/>
      <c r="B101" s="25"/>
      <c r="C101" s="25"/>
      <c r="D101" s="25"/>
      <c r="E101" s="25"/>
      <c r="F101" s="2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idden="1" x14ac:dyDescent="0.25">
      <c r="A102" s="25"/>
      <c r="B102" s="25"/>
      <c r="C102" s="25"/>
      <c r="D102" s="25"/>
      <c r="E102" s="25"/>
      <c r="F102" s="2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idden="1" x14ac:dyDescent="0.25">
      <c r="A103" s="25"/>
      <c r="B103" s="25"/>
      <c r="C103" s="25"/>
      <c r="D103" s="25"/>
      <c r="E103" s="25"/>
      <c r="F103" s="2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idden="1" x14ac:dyDescent="0.25">
      <c r="A104" s="25"/>
      <c r="B104" s="25"/>
      <c r="C104" s="25"/>
      <c r="D104" s="25"/>
      <c r="E104" s="25"/>
      <c r="F104" s="2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idden="1" x14ac:dyDescent="0.25">
      <c r="A105" s="25"/>
      <c r="B105" s="25"/>
      <c r="C105" s="25"/>
      <c r="D105" s="25"/>
      <c r="E105" s="25"/>
      <c r="F105" s="2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idden="1" x14ac:dyDescent="0.25">
      <c r="A106" s="25"/>
      <c r="B106" s="25"/>
      <c r="C106" s="25"/>
      <c r="D106" s="25"/>
      <c r="E106" s="25"/>
      <c r="F106" s="2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idden="1" x14ac:dyDescent="0.25">
      <c r="A107" s="25"/>
      <c r="B107" s="25"/>
      <c r="C107" s="25"/>
      <c r="D107" s="25"/>
      <c r="E107" s="25"/>
      <c r="F107" s="2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idden="1" x14ac:dyDescent="0.25">
      <c r="A108" s="25"/>
      <c r="B108" s="25"/>
      <c r="C108" s="25"/>
      <c r="D108" s="25"/>
      <c r="E108" s="25"/>
      <c r="F108" s="2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idden="1" x14ac:dyDescent="0.25">
      <c r="A109" s="25"/>
      <c r="B109" s="25"/>
      <c r="C109" s="25"/>
      <c r="D109" s="25"/>
      <c r="E109" s="25"/>
      <c r="F109" s="2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idden="1" x14ac:dyDescent="0.25">
      <c r="A110" s="25"/>
      <c r="B110" s="25"/>
      <c r="C110" s="25"/>
      <c r="D110" s="25"/>
      <c r="E110" s="25"/>
      <c r="F110" s="2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idden="1" x14ac:dyDescent="0.25">
      <c r="A111" s="25"/>
      <c r="B111" s="25"/>
      <c r="C111" s="25"/>
      <c r="D111" s="25"/>
      <c r="E111" s="25"/>
      <c r="F111" s="2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idden="1" x14ac:dyDescent="0.25">
      <c r="A112" s="25"/>
      <c r="B112" s="25"/>
      <c r="C112" s="25"/>
      <c r="D112" s="25"/>
      <c r="E112" s="25"/>
      <c r="F112" s="2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idden="1" x14ac:dyDescent="0.25">
      <c r="A113" s="25"/>
      <c r="B113" s="25"/>
      <c r="C113" s="25"/>
      <c r="D113" s="25"/>
      <c r="E113" s="25"/>
      <c r="F113" s="2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idden="1" x14ac:dyDescent="0.25">
      <c r="A114" s="25"/>
      <c r="B114" s="25"/>
      <c r="C114" s="25"/>
      <c r="D114" s="25"/>
      <c r="E114" s="25"/>
      <c r="F114" s="2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idden="1" x14ac:dyDescent="0.25">
      <c r="A115" s="25"/>
      <c r="B115" s="25"/>
      <c r="C115" s="25"/>
      <c r="D115" s="25"/>
      <c r="E115" s="25"/>
      <c r="F115" s="2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idden="1" x14ac:dyDescent="0.25">
      <c r="A116" s="25"/>
      <c r="B116" s="25"/>
      <c r="C116" s="25"/>
      <c r="D116" s="25"/>
      <c r="E116" s="25"/>
      <c r="F116" s="2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idden="1" x14ac:dyDescent="0.25">
      <c r="A117" s="25"/>
      <c r="B117" s="25"/>
      <c r="C117" s="25"/>
      <c r="D117" s="25"/>
      <c r="E117" s="25"/>
      <c r="F117" s="2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idden="1" x14ac:dyDescent="0.25">
      <c r="A118" s="25"/>
      <c r="B118" s="25"/>
      <c r="C118" s="25"/>
      <c r="D118" s="25"/>
      <c r="E118" s="25"/>
      <c r="F118" s="2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idden="1" x14ac:dyDescent="0.25">
      <c r="A119" s="25"/>
      <c r="B119" s="25"/>
      <c r="C119" s="25"/>
      <c r="D119" s="25"/>
      <c r="E119" s="25"/>
      <c r="F119" s="2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idden="1" x14ac:dyDescent="0.25">
      <c r="A120" s="25"/>
      <c r="B120" s="25"/>
      <c r="C120" s="25"/>
      <c r="D120" s="25"/>
      <c r="E120" s="25"/>
      <c r="F120" s="2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idden="1" x14ac:dyDescent="0.25">
      <c r="A121" s="25"/>
      <c r="B121" s="25"/>
      <c r="C121" s="25"/>
      <c r="D121" s="25"/>
      <c r="E121" s="25"/>
      <c r="F121" s="2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idden="1" x14ac:dyDescent="0.25">
      <c r="A122" s="25"/>
      <c r="B122" s="25"/>
      <c r="C122" s="25"/>
      <c r="D122" s="25"/>
      <c r="E122" s="25"/>
      <c r="F122" s="2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idden="1" x14ac:dyDescent="0.25">
      <c r="A123" s="25"/>
      <c r="B123" s="25"/>
      <c r="C123" s="25"/>
      <c r="D123" s="25"/>
      <c r="E123" s="25"/>
      <c r="F123" s="2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idden="1" x14ac:dyDescent="0.25">
      <c r="A124" s="25"/>
      <c r="B124" s="25"/>
      <c r="C124" s="25"/>
      <c r="D124" s="25"/>
      <c r="E124" s="25"/>
      <c r="F124" s="2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idden="1" x14ac:dyDescent="0.25">
      <c r="A125" s="25"/>
      <c r="B125" s="25"/>
      <c r="C125" s="25"/>
      <c r="D125" s="25"/>
      <c r="E125" s="25"/>
      <c r="F125" s="2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idden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5" hidden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5" hidden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idden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idden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idden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idden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idden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idden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idden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idden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idden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hidden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hidden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hidden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hidden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hidden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hidden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hidden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5" hidden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5" hidden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5" hidden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5" hidden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5" hidden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5" hidden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5" hidden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5" hidden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5" hidden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5" hidden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5" x14ac:dyDescent="0.25">
      <c r="B155" s="64"/>
      <c r="D155" s="64"/>
      <c r="E155" s="64"/>
      <c r="F155" s="64"/>
      <c r="J155" s="64"/>
      <c r="K155" s="64"/>
      <c r="L155" s="64"/>
      <c r="M155" s="64"/>
      <c r="N155" s="64"/>
      <c r="O155" s="64"/>
    </row>
    <row r="156" spans="1:15" x14ac:dyDescent="0.25">
      <c r="B156" s="64"/>
      <c r="D156" s="64"/>
      <c r="E156" s="64"/>
      <c r="F156" s="64"/>
      <c r="J156" s="64"/>
      <c r="K156" s="64"/>
      <c r="L156" s="64"/>
      <c r="M156" s="64"/>
      <c r="N156" s="64"/>
      <c r="O156" s="64"/>
    </row>
  </sheetData>
  <sheetProtection algorithmName="SHA-512" hashValue="ob5iFruiaL4Ve5W+awcWtZQup5qAePD7pBNUVNwncemnQf9iLGN56fxBE6n6EM0Gg7EKsfDlf6Or1sYFdBEWzQ==" saltValue="M/hclbWOaClE0wMPy4u0KA==" spinCount="100000" sheet="1" objects="1" scenarios="1"/>
  <autoFilter ref="P1:P154" xr:uid="{00000000-0009-0000-0000-000003000000}">
    <filterColumn colId="0">
      <customFilters>
        <customFilter operator="notEqual" val=" "/>
      </customFilters>
    </filterColumn>
  </autoFilter>
  <mergeCells count="2">
    <mergeCell ref="B1:G1"/>
    <mergeCell ref="B2:G2"/>
  </mergeCells>
  <phoneticPr fontId="14" type="noConversion"/>
  <printOptions horizontalCentered="1"/>
  <pageMargins left="0" right="0" top="0.5" bottom="0.5" header="0" footer="0"/>
  <pageSetup fitToHeight="5" orientation="portrait" horizontalDpi="300" verticalDpi="300" r:id="rId1"/>
  <headerFooter alignWithMargins="0"/>
  <rowBreaks count="1" manualBreakCount="1">
    <brk id="94" max="16383" man="1"/>
  </rowBreaks>
  <ignoredErrors>
    <ignoredError sqref="E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V166"/>
  <sheetViews>
    <sheetView showOutlineSymbols="0" topLeftCell="B1" zoomScaleNormal="100" workbookViewId="0">
      <selection activeCell="B1" sqref="B1:E1"/>
    </sheetView>
  </sheetViews>
  <sheetFormatPr defaultColWidth="9.109375" defaultRowHeight="12.75" customHeight="1" x14ac:dyDescent="0.2"/>
  <cols>
    <col min="1" max="1" width="5.109375" style="90" hidden="1" customWidth="1"/>
    <col min="2" max="2" width="19.33203125" style="91" customWidth="1"/>
    <col min="3" max="3" width="29.5546875" style="113" customWidth="1"/>
    <col min="4" max="4" width="10.44140625" style="113" hidden="1" customWidth="1"/>
    <col min="5" max="5" width="11.5546875" style="112" customWidth="1"/>
    <col min="6" max="6" width="9.6640625" style="91" customWidth="1"/>
    <col min="7" max="7" width="2" style="91" hidden="1" customWidth="1"/>
    <col min="8" max="8" width="9.6640625" style="91" customWidth="1"/>
    <col min="9" max="9" width="10" style="91" customWidth="1"/>
    <col min="10" max="10" width="2.5546875" style="91" hidden="1" customWidth="1"/>
    <col min="11" max="12" width="9.6640625" style="91" customWidth="1"/>
    <col min="13" max="13" width="11.5546875" style="91" bestFit="1" customWidth="1"/>
    <col min="14" max="14" width="9.109375" style="91" hidden="1" customWidth="1"/>
    <col min="15" max="15" width="9.6640625" style="91" hidden="1" customWidth="1"/>
    <col min="16" max="20" width="9.109375" style="98" hidden="1" customWidth="1"/>
    <col min="21" max="22" width="9.109375" style="91" hidden="1" customWidth="1"/>
    <col min="23" max="16384" width="9.109375" style="91"/>
  </cols>
  <sheetData>
    <row r="1" spans="1:21" ht="12" x14ac:dyDescent="0.25">
      <c r="B1" s="173" t="str">
        <f>Budget!B1</f>
        <v>CHAUTAUQUA LEARN &amp; SERVE CHARTER SCHOOL</v>
      </c>
      <c r="C1" s="173"/>
      <c r="D1" s="173"/>
      <c r="E1" s="173"/>
      <c r="N1" s="91" t="s">
        <v>65</v>
      </c>
    </row>
    <row r="2" spans="1:21" ht="12" x14ac:dyDescent="0.25">
      <c r="B2" s="173" t="s">
        <v>83</v>
      </c>
      <c r="C2" s="173"/>
      <c r="D2" s="173"/>
      <c r="E2" s="173"/>
      <c r="N2" s="91" t="s">
        <v>65</v>
      </c>
    </row>
    <row r="3" spans="1:21" ht="12" hidden="1" x14ac:dyDescent="0.25">
      <c r="B3" s="92"/>
      <c r="C3" s="92"/>
      <c r="D3" s="92"/>
      <c r="E3" s="93"/>
      <c r="N3" s="91" t="s">
        <v>57</v>
      </c>
    </row>
    <row r="4" spans="1:21" ht="12.75" hidden="1" customHeight="1" x14ac:dyDescent="0.25">
      <c r="B4" s="92"/>
      <c r="C4" s="92"/>
      <c r="D4" s="92"/>
      <c r="E4" s="93"/>
      <c r="F4" s="167" t="s">
        <v>22</v>
      </c>
      <c r="G4" s="167"/>
      <c r="H4" s="94" t="s">
        <v>24</v>
      </c>
      <c r="I4" s="167" t="s">
        <v>21</v>
      </c>
      <c r="J4" s="167"/>
      <c r="K4" s="94" t="s">
        <v>29</v>
      </c>
      <c r="N4" s="91" t="s">
        <v>57</v>
      </c>
    </row>
    <row r="5" spans="1:21" ht="12.75" hidden="1" customHeight="1" x14ac:dyDescent="0.25">
      <c r="B5" s="92"/>
      <c r="C5" s="92"/>
      <c r="D5" s="92"/>
      <c r="E5" s="95" t="s">
        <v>23</v>
      </c>
      <c r="F5" s="168">
        <v>8.2600000000000007E-2</v>
      </c>
      <c r="G5" s="168"/>
      <c r="H5" s="96">
        <v>7.6499999999999999E-2</v>
      </c>
      <c r="I5" s="168">
        <v>0.01</v>
      </c>
      <c r="J5" s="168"/>
      <c r="K5" s="97">
        <v>0.01</v>
      </c>
      <c r="L5" s="97"/>
      <c r="N5" s="91" t="s">
        <v>57</v>
      </c>
    </row>
    <row r="6" spans="1:21" ht="12.75" hidden="1" customHeight="1" x14ac:dyDescent="0.25">
      <c r="B6" s="92"/>
      <c r="C6" s="92"/>
      <c r="D6" s="92"/>
      <c r="E6" s="95" t="s">
        <v>25</v>
      </c>
      <c r="F6" s="168">
        <f>F5</f>
        <v>8.2600000000000007E-2</v>
      </c>
      <c r="G6" s="168"/>
      <c r="H6" s="96">
        <v>7.6499999999999999E-2</v>
      </c>
      <c r="I6" s="168">
        <f>+I5</f>
        <v>0.01</v>
      </c>
      <c r="J6" s="168"/>
      <c r="K6" s="97">
        <v>0.01</v>
      </c>
      <c r="L6" s="97"/>
      <c r="N6" s="91" t="s">
        <v>57</v>
      </c>
    </row>
    <row r="7" spans="1:21" ht="12.75" hidden="1" customHeight="1" x14ac:dyDescent="0.25">
      <c r="B7" s="92"/>
      <c r="C7" s="92"/>
      <c r="D7" s="92"/>
      <c r="E7" s="95" t="s">
        <v>59</v>
      </c>
      <c r="F7" s="168">
        <f>F6</f>
        <v>8.2600000000000007E-2</v>
      </c>
      <c r="G7" s="168"/>
      <c r="H7" s="96">
        <v>7.6499999999999999E-2</v>
      </c>
      <c r="I7" s="168">
        <v>0.04</v>
      </c>
      <c r="J7" s="168"/>
      <c r="K7" s="97">
        <f t="shared" ref="K7:K10" si="0">+K6</f>
        <v>0.01</v>
      </c>
      <c r="L7" s="97"/>
      <c r="N7" s="91" t="s">
        <v>57</v>
      </c>
    </row>
    <row r="8" spans="1:21" ht="12.75" hidden="1" customHeight="1" x14ac:dyDescent="0.25">
      <c r="B8" s="92"/>
      <c r="C8" s="92"/>
      <c r="D8" s="92"/>
      <c r="E8" s="95" t="s">
        <v>60</v>
      </c>
      <c r="F8" s="168">
        <f>F7</f>
        <v>8.2600000000000007E-2</v>
      </c>
      <c r="G8" s="168"/>
      <c r="H8" s="96">
        <v>7.6499999999999999E-2</v>
      </c>
      <c r="I8" s="168">
        <f>+I7</f>
        <v>0.04</v>
      </c>
      <c r="J8" s="168"/>
      <c r="K8" s="97">
        <f t="shared" si="0"/>
        <v>0.01</v>
      </c>
      <c r="L8" s="97"/>
      <c r="N8" s="91" t="s">
        <v>57</v>
      </c>
    </row>
    <row r="9" spans="1:21" ht="12.75" hidden="1" customHeight="1" x14ac:dyDescent="0.25">
      <c r="A9" s="94" t="s">
        <v>26</v>
      </c>
      <c r="B9" s="92"/>
      <c r="C9" s="92"/>
      <c r="D9" s="92"/>
      <c r="E9" s="95" t="s">
        <v>61</v>
      </c>
      <c r="F9" s="168">
        <f>F8</f>
        <v>8.2600000000000007E-2</v>
      </c>
      <c r="G9" s="168"/>
      <c r="H9" s="96">
        <v>7.6499999999999999E-2</v>
      </c>
      <c r="I9" s="168">
        <f>+I7</f>
        <v>0.04</v>
      </c>
      <c r="J9" s="168"/>
      <c r="K9" s="97">
        <f t="shared" si="0"/>
        <v>0.01</v>
      </c>
      <c r="L9" s="98"/>
      <c r="N9" s="91" t="s">
        <v>57</v>
      </c>
    </row>
    <row r="10" spans="1:21" ht="12.75" hidden="1" customHeight="1" x14ac:dyDescent="0.25">
      <c r="A10" s="90">
        <v>1</v>
      </c>
      <c r="B10" s="92"/>
      <c r="C10" s="92"/>
      <c r="D10" s="92"/>
      <c r="E10" s="95" t="s">
        <v>62</v>
      </c>
      <c r="F10" s="168">
        <f>F9</f>
        <v>8.2600000000000007E-2</v>
      </c>
      <c r="G10" s="168"/>
      <c r="H10" s="96">
        <v>7.6499999999999999E-2</v>
      </c>
      <c r="I10" s="168">
        <f>+I5</f>
        <v>0.01</v>
      </c>
      <c r="J10" s="168"/>
      <c r="K10" s="97">
        <f t="shared" si="0"/>
        <v>0.01</v>
      </c>
      <c r="L10" s="98"/>
      <c r="N10" s="91" t="s">
        <v>57</v>
      </c>
    </row>
    <row r="11" spans="1:21" ht="14.1" customHeight="1" x14ac:dyDescent="0.25">
      <c r="A11" s="90">
        <v>2</v>
      </c>
      <c r="B11" s="92"/>
      <c r="C11" s="99"/>
      <c r="D11" s="99"/>
      <c r="E11" s="93"/>
      <c r="N11" s="91" t="s">
        <v>65</v>
      </c>
    </row>
    <row r="12" spans="1:21" ht="12.75" hidden="1" customHeight="1" x14ac:dyDescent="0.25">
      <c r="A12" s="90">
        <v>3</v>
      </c>
      <c r="B12" s="92"/>
      <c r="C12" s="92"/>
      <c r="D12" s="92"/>
      <c r="E12" s="93"/>
    </row>
    <row r="13" spans="1:21" ht="12" x14ac:dyDescent="0.25">
      <c r="A13" s="90">
        <v>4</v>
      </c>
      <c r="B13" s="100" t="s">
        <v>27</v>
      </c>
      <c r="C13" s="100" t="s">
        <v>28</v>
      </c>
      <c r="D13" s="92" t="s">
        <v>191</v>
      </c>
      <c r="E13" s="100" t="s">
        <v>92</v>
      </c>
      <c r="F13" s="169" t="s">
        <v>118</v>
      </c>
      <c r="G13" s="170"/>
      <c r="H13" s="101" t="s">
        <v>119</v>
      </c>
      <c r="I13" s="171" t="s">
        <v>120</v>
      </c>
      <c r="J13" s="172"/>
      <c r="K13" s="101" t="s">
        <v>121</v>
      </c>
      <c r="L13" s="101" t="s">
        <v>122</v>
      </c>
      <c r="M13" s="102" t="s">
        <v>123</v>
      </c>
      <c r="N13" s="91" t="s">
        <v>65</v>
      </c>
      <c r="P13" s="138">
        <v>6.14</v>
      </c>
      <c r="Q13" s="138">
        <v>5.31</v>
      </c>
      <c r="R13" s="138">
        <v>5.16</v>
      </c>
      <c r="S13" s="98">
        <v>4.3</v>
      </c>
      <c r="T13" s="98">
        <v>4.16</v>
      </c>
      <c r="U13" s="91">
        <v>3.3</v>
      </c>
    </row>
    <row r="14" spans="1:21" ht="12.75" hidden="1" customHeight="1" x14ac:dyDescent="0.2">
      <c r="A14" s="115"/>
      <c r="B14" s="109" t="s">
        <v>16</v>
      </c>
      <c r="C14" s="103"/>
      <c r="D14" s="125"/>
      <c r="E14" s="105"/>
      <c r="F14" s="106">
        <f t="shared" ref="F14:F19" si="1">IF(G14="Y",E14*$F$5," ")</f>
        <v>0</v>
      </c>
      <c r="G14" s="90" t="s">
        <v>146</v>
      </c>
      <c r="H14" s="106">
        <f t="shared" ref="H14:H19" si="2">+$E14*$H$5</f>
        <v>0</v>
      </c>
      <c r="I14" s="106" t="str">
        <f t="shared" ref="I14:I19" si="3">IF(J14="Y",((245.79+2.13)*1.01)*24," ")</f>
        <v xml:space="preserve"> </v>
      </c>
      <c r="J14" s="106" t="s">
        <v>57</v>
      </c>
      <c r="K14" s="106">
        <f t="shared" ref="K14:K19" si="4">+$E14*$I$5</f>
        <v>0</v>
      </c>
      <c r="L14" s="106">
        <f t="shared" ref="L14:L19" si="5">IF(E14&gt;7000,7000*$K$5,E14*$K$5)</f>
        <v>0</v>
      </c>
      <c r="M14" s="108">
        <f t="shared" ref="M14:M19" si="6">SUM(H14:L14,E14:F14)</f>
        <v>0</v>
      </c>
      <c r="N14" s="91" t="str">
        <f>IF(M14&gt;0.49,"*","")</f>
        <v/>
      </c>
    </row>
    <row r="15" spans="1:21" ht="12.75" customHeight="1" x14ac:dyDescent="0.2">
      <c r="A15" s="115">
        <v>1</v>
      </c>
      <c r="B15" s="109" t="s">
        <v>16</v>
      </c>
      <c r="C15" s="124" t="s">
        <v>158</v>
      </c>
      <c r="D15" s="114">
        <f>AVERAGE(Q15:U15)</f>
        <v>540</v>
      </c>
      <c r="E15" s="105">
        <f>+D15*24*PRInf</f>
        <v>13219.2</v>
      </c>
      <c r="F15" s="106">
        <f t="shared" si="1"/>
        <v>1091.9059200000002</v>
      </c>
      <c r="G15" s="90" t="s">
        <v>146</v>
      </c>
      <c r="H15" s="106">
        <f t="shared" si="2"/>
        <v>1011.2688000000001</v>
      </c>
      <c r="I15" s="106" t="str">
        <f t="shared" si="3"/>
        <v xml:space="preserve"> </v>
      </c>
      <c r="J15" s="106" t="s">
        <v>58</v>
      </c>
      <c r="K15" s="106">
        <f t="shared" si="4"/>
        <v>132.19200000000001</v>
      </c>
      <c r="L15" s="106">
        <f t="shared" si="5"/>
        <v>70</v>
      </c>
      <c r="M15" s="108">
        <f t="shared" si="6"/>
        <v>15524.566720000003</v>
      </c>
      <c r="N15" s="91" t="str">
        <f>IF(M15&gt;0.49,"*","")</f>
        <v>*</v>
      </c>
      <c r="P15" s="98">
        <v>540</v>
      </c>
      <c r="Q15" s="98">
        <v>540</v>
      </c>
      <c r="R15" s="98">
        <v>540</v>
      </c>
      <c r="S15" s="98">
        <v>540</v>
      </c>
      <c r="T15" s="98">
        <v>540</v>
      </c>
      <c r="U15" s="91">
        <v>540</v>
      </c>
    </row>
    <row r="16" spans="1:21" ht="12.75" customHeight="1" x14ac:dyDescent="0.2">
      <c r="A16" s="115">
        <v>1</v>
      </c>
      <c r="B16" s="109" t="s">
        <v>16</v>
      </c>
      <c r="C16" s="124" t="s">
        <v>180</v>
      </c>
      <c r="D16" s="114">
        <f>AVERAGE(Q16:U16)</f>
        <v>1457.5</v>
      </c>
      <c r="E16" s="105">
        <f>+D16*24*PRInf</f>
        <v>35679.599999999999</v>
      </c>
      <c r="F16" s="106">
        <f t="shared" ref="F16" si="7">IF(G16="Y",E16*$F$5," ")</f>
        <v>2947.1349600000003</v>
      </c>
      <c r="G16" s="90" t="s">
        <v>146</v>
      </c>
      <c r="H16" s="106">
        <f t="shared" si="2"/>
        <v>2729.4893999999999</v>
      </c>
      <c r="I16" s="106">
        <f t="shared" si="3"/>
        <v>6009.5807999999997</v>
      </c>
      <c r="J16" s="136" t="s">
        <v>146</v>
      </c>
      <c r="K16" s="106">
        <f t="shared" si="4"/>
        <v>356.79599999999999</v>
      </c>
      <c r="L16" s="106">
        <f t="shared" si="5"/>
        <v>70</v>
      </c>
      <c r="M16" s="108">
        <f t="shared" si="6"/>
        <v>47792.601159999998</v>
      </c>
      <c r="N16" s="91" t="str">
        <f t="shared" ref="N16" si="8">IF(M16&gt;0.49,"*","")</f>
        <v>*</v>
      </c>
      <c r="P16" s="154">
        <v>5830</v>
      </c>
      <c r="Q16" s="98">
        <v>1457.5</v>
      </c>
      <c r="R16" s="98">
        <v>1457.5</v>
      </c>
      <c r="S16" s="98">
        <v>1457.5</v>
      </c>
      <c r="T16" s="98">
        <v>1457.5</v>
      </c>
      <c r="U16" s="91">
        <v>1457.5</v>
      </c>
    </row>
    <row r="17" spans="1:21" ht="12.75" customHeight="1" x14ac:dyDescent="0.2">
      <c r="A17" s="115">
        <v>1</v>
      </c>
      <c r="B17" s="109" t="s">
        <v>16</v>
      </c>
      <c r="C17" s="124" t="s">
        <v>159</v>
      </c>
      <c r="D17" s="114">
        <f>AVERAGE(Q17:U17)</f>
        <v>2208.33</v>
      </c>
      <c r="E17" s="105">
        <f>+D17*24*PRInf</f>
        <v>54059.918400000002</v>
      </c>
      <c r="F17" s="106">
        <f t="shared" si="1"/>
        <v>4465.3492598400007</v>
      </c>
      <c r="G17" s="90" t="s">
        <v>146</v>
      </c>
      <c r="H17" s="106">
        <f t="shared" si="2"/>
        <v>4135.5837576000004</v>
      </c>
      <c r="I17" s="106" t="str">
        <f t="shared" si="3"/>
        <v xml:space="preserve"> </v>
      </c>
      <c r="J17" s="106" t="s">
        <v>58</v>
      </c>
      <c r="K17" s="106">
        <f t="shared" si="4"/>
        <v>540.59918400000004</v>
      </c>
      <c r="L17" s="106">
        <f t="shared" si="5"/>
        <v>70</v>
      </c>
      <c r="M17" s="108">
        <f t="shared" si="6"/>
        <v>63271.45060144001</v>
      </c>
      <c r="N17" s="91" t="str">
        <f>IF(M17&gt;0.49,"*","")</f>
        <v>*</v>
      </c>
      <c r="P17" s="154">
        <v>8833.32</v>
      </c>
      <c r="Q17" s="98">
        <v>2208.33</v>
      </c>
      <c r="R17" s="98">
        <v>2208.33</v>
      </c>
      <c r="S17" s="98">
        <v>2208.33</v>
      </c>
      <c r="T17" s="98">
        <v>2208.33</v>
      </c>
      <c r="U17" s="91">
        <v>2208.33</v>
      </c>
    </row>
    <row r="18" spans="1:21" ht="12.75" customHeight="1" x14ac:dyDescent="0.2">
      <c r="A18" s="115">
        <v>1</v>
      </c>
      <c r="B18" s="109" t="s">
        <v>16</v>
      </c>
      <c r="C18" s="124" t="s">
        <v>181</v>
      </c>
      <c r="D18" s="114">
        <f>AVERAGE(Q18:U18)</f>
        <v>1457.28</v>
      </c>
      <c r="E18" s="105">
        <f>+D18*24*PRInf</f>
        <v>35674.214400000004</v>
      </c>
      <c r="F18" s="106">
        <f t="shared" ref="F18" si="9">IF(G18="Y",E18*$F$5," ")</f>
        <v>2946.6901094400005</v>
      </c>
      <c r="G18" s="90" t="s">
        <v>146</v>
      </c>
      <c r="H18" s="106">
        <f t="shared" si="2"/>
        <v>2729.0774016000005</v>
      </c>
      <c r="I18" s="106" t="str">
        <f t="shared" si="3"/>
        <v xml:space="preserve"> </v>
      </c>
      <c r="J18" s="106" t="s">
        <v>58</v>
      </c>
      <c r="K18" s="106">
        <f t="shared" si="4"/>
        <v>356.74214400000005</v>
      </c>
      <c r="L18" s="106">
        <f t="shared" si="5"/>
        <v>70</v>
      </c>
      <c r="M18" s="108">
        <f t="shared" si="6"/>
        <v>41776.724055040009</v>
      </c>
      <c r="N18" s="91" t="str">
        <f t="shared" ref="N18" si="10">IF(M18&gt;0.49,"*","")</f>
        <v>*</v>
      </c>
      <c r="P18" s="98">
        <v>1457.28</v>
      </c>
      <c r="Q18" s="98">
        <v>1457.28</v>
      </c>
      <c r="R18" s="98">
        <v>1457.28</v>
      </c>
      <c r="S18" s="98">
        <v>1457.28</v>
      </c>
      <c r="T18" s="98">
        <v>1457.28</v>
      </c>
      <c r="U18" s="91">
        <v>1457.28</v>
      </c>
    </row>
    <row r="19" spans="1:21" ht="12.75" hidden="1" customHeight="1" x14ac:dyDescent="0.2">
      <c r="A19" s="115">
        <f>+A15</f>
        <v>1</v>
      </c>
      <c r="B19" s="109" t="s">
        <v>16</v>
      </c>
      <c r="C19" s="124"/>
      <c r="D19" s="114"/>
      <c r="E19" s="105">
        <f>+D19*24*PRInf</f>
        <v>0</v>
      </c>
      <c r="F19" s="106">
        <f t="shared" si="1"/>
        <v>0</v>
      </c>
      <c r="G19" s="90" t="s">
        <v>146</v>
      </c>
      <c r="H19" s="106">
        <f t="shared" si="2"/>
        <v>0</v>
      </c>
      <c r="I19" s="106" t="str">
        <f t="shared" si="3"/>
        <v xml:space="preserve"> </v>
      </c>
      <c r="J19" s="106" t="s">
        <v>58</v>
      </c>
      <c r="K19" s="106">
        <f t="shared" si="4"/>
        <v>0</v>
      </c>
      <c r="L19" s="106">
        <f t="shared" si="5"/>
        <v>0</v>
      </c>
      <c r="M19" s="108">
        <f t="shared" si="6"/>
        <v>0</v>
      </c>
      <c r="N19" s="91" t="str">
        <f>IF(M19&gt;0.49,"*","")</f>
        <v/>
      </c>
    </row>
    <row r="20" spans="1:21" ht="12.75" customHeight="1" x14ac:dyDescent="0.25">
      <c r="A20" s="126" t="e">
        <f>SUM(A19:A19,A58:A58,#REF!,A54,A51:A51,A44,A40:A40,A37:A37,A31:A31,#REF!)</f>
        <v>#REF!</v>
      </c>
      <c r="B20" s="116" t="s">
        <v>2</v>
      </c>
      <c r="C20" s="117" t="s">
        <v>3</v>
      </c>
      <c r="D20" s="118">
        <f>SUM(D14:D19)</f>
        <v>5663.11</v>
      </c>
      <c r="E20" s="118">
        <f>SUM(E14:E19)</f>
        <v>138632.93280000001</v>
      </c>
      <c r="F20" s="119">
        <f t="shared" ref="F20:M20" si="11">SUM(F14:F19)</f>
        <v>11451.080249280001</v>
      </c>
      <c r="G20" s="119"/>
      <c r="H20" s="119">
        <f t="shared" si="11"/>
        <v>10605.419359200001</v>
      </c>
      <c r="I20" s="119">
        <f t="shared" si="11"/>
        <v>6009.5807999999997</v>
      </c>
      <c r="J20" s="119"/>
      <c r="K20" s="119">
        <f t="shared" si="11"/>
        <v>1386.329328</v>
      </c>
      <c r="L20" s="119">
        <f t="shared" si="11"/>
        <v>280</v>
      </c>
      <c r="M20" s="119">
        <f t="shared" si="11"/>
        <v>168365.34253648002</v>
      </c>
      <c r="N20" s="91" t="str">
        <f>IF(M20&gt;0.49,"*","")</f>
        <v>*</v>
      </c>
    </row>
    <row r="21" spans="1:21" ht="12.75" customHeight="1" x14ac:dyDescent="0.2">
      <c r="B21" s="112"/>
      <c r="C21" s="103"/>
      <c r="D21" s="114"/>
      <c r="E21" s="122"/>
      <c r="F21" s="108"/>
      <c r="I21" s="106" t="str">
        <f t="shared" ref="I21:I33" si="12">IF(J21="Y",((245.79+2.13)*1.01)*24," ")</f>
        <v xml:space="preserve"> </v>
      </c>
      <c r="N21" s="91" t="str">
        <f>IF(N20="*","*","")</f>
        <v>*</v>
      </c>
    </row>
    <row r="22" spans="1:21" ht="12.75" hidden="1" customHeight="1" x14ac:dyDescent="0.2">
      <c r="A22" s="90">
        <v>5</v>
      </c>
      <c r="B22" s="109" t="s">
        <v>175</v>
      </c>
      <c r="C22" s="103"/>
      <c r="D22" s="104"/>
      <c r="E22" s="105"/>
      <c r="F22" s="106">
        <f t="shared" ref="F22" si="13">IF(G22="Y",E22*$F$5," ")</f>
        <v>0</v>
      </c>
      <c r="G22" s="90" t="s">
        <v>146</v>
      </c>
      <c r="H22" s="106">
        <f t="shared" ref="H22:H30" si="14">+$E22*$H$5</f>
        <v>0</v>
      </c>
      <c r="I22" s="106" t="str">
        <f t="shared" si="12"/>
        <v xml:space="preserve"> </v>
      </c>
      <c r="J22" s="107" t="s">
        <v>58</v>
      </c>
      <c r="K22" s="106">
        <f t="shared" ref="K22:K30" si="15">+$E22*$I$5</f>
        <v>0</v>
      </c>
      <c r="L22" s="106">
        <f t="shared" ref="L22:L30" si="16">IF(E22&gt;7000,7000*$K$5,E22*$K$5)</f>
        <v>0</v>
      </c>
      <c r="M22" s="108">
        <f t="shared" ref="M22:M29" si="17">SUM(H22:L22,E22:F22)</f>
        <v>0</v>
      </c>
      <c r="N22" s="91" t="str">
        <f>IF(M22&gt;0.49,"*","")</f>
        <v/>
      </c>
    </row>
    <row r="23" spans="1:21" ht="11.4" hidden="1" x14ac:dyDescent="0.2">
      <c r="A23" s="111" t="e">
        <f>+#REF!</f>
        <v>#REF!</v>
      </c>
      <c r="B23" s="109" t="s">
        <v>175</v>
      </c>
      <c r="C23" s="103"/>
      <c r="D23" s="104"/>
      <c r="E23" s="105">
        <f t="shared" ref="E23:E29" si="18">+D23*24*PRInf</f>
        <v>0</v>
      </c>
      <c r="F23" s="106">
        <f t="shared" ref="F23:F33" si="19">IF(G23="Y",E23*$F$5," ")</f>
        <v>0</v>
      </c>
      <c r="G23" s="90" t="s">
        <v>146</v>
      </c>
      <c r="H23" s="106">
        <f t="shared" si="14"/>
        <v>0</v>
      </c>
      <c r="I23" s="106" t="str">
        <f t="shared" si="12"/>
        <v xml:space="preserve"> </v>
      </c>
      <c r="J23" s="107" t="s">
        <v>58</v>
      </c>
      <c r="K23" s="106">
        <f t="shared" si="15"/>
        <v>0</v>
      </c>
      <c r="L23" s="106">
        <f t="shared" si="16"/>
        <v>0</v>
      </c>
      <c r="M23" s="108">
        <f t="shared" si="17"/>
        <v>0</v>
      </c>
      <c r="N23" s="91" t="str">
        <f t="shared" ref="N23:N24" si="20">IF(M23&gt;0.49,"*","")</f>
        <v/>
      </c>
    </row>
    <row r="24" spans="1:21" ht="11.4" hidden="1" x14ac:dyDescent="0.2">
      <c r="A24" s="111" t="e">
        <f>+#REF!</f>
        <v>#REF!</v>
      </c>
      <c r="B24" s="109" t="s">
        <v>175</v>
      </c>
      <c r="C24" s="103"/>
      <c r="D24" s="104"/>
      <c r="E24" s="105">
        <f t="shared" si="18"/>
        <v>0</v>
      </c>
      <c r="F24" s="106">
        <f t="shared" si="19"/>
        <v>0</v>
      </c>
      <c r="G24" s="90" t="s">
        <v>146</v>
      </c>
      <c r="H24" s="106">
        <f t="shared" si="14"/>
        <v>0</v>
      </c>
      <c r="I24" s="106" t="str">
        <f t="shared" si="12"/>
        <v xml:space="preserve"> </v>
      </c>
      <c r="J24" s="107" t="s">
        <v>58</v>
      </c>
      <c r="K24" s="106">
        <f t="shared" si="15"/>
        <v>0</v>
      </c>
      <c r="L24" s="106">
        <f t="shared" si="16"/>
        <v>0</v>
      </c>
      <c r="M24" s="108">
        <f t="shared" si="17"/>
        <v>0</v>
      </c>
      <c r="N24" s="91" t="str">
        <f t="shared" si="20"/>
        <v/>
      </c>
    </row>
    <row r="25" spans="1:21" ht="11.4" hidden="1" x14ac:dyDescent="0.2">
      <c r="A25" s="111" t="e">
        <f>+#REF!</f>
        <v>#REF!</v>
      </c>
      <c r="B25" s="109" t="s">
        <v>175</v>
      </c>
      <c r="C25" s="103"/>
      <c r="D25" s="104"/>
      <c r="E25" s="105">
        <f t="shared" si="18"/>
        <v>0</v>
      </c>
      <c r="F25" s="106">
        <f t="shared" si="19"/>
        <v>0</v>
      </c>
      <c r="G25" s="90" t="s">
        <v>146</v>
      </c>
      <c r="H25" s="106">
        <f t="shared" si="14"/>
        <v>0</v>
      </c>
      <c r="I25" s="106" t="str">
        <f t="shared" si="12"/>
        <v xml:space="preserve"> </v>
      </c>
      <c r="J25" s="107" t="s">
        <v>58</v>
      </c>
      <c r="K25" s="106">
        <f t="shared" si="15"/>
        <v>0</v>
      </c>
      <c r="L25" s="106">
        <f t="shared" si="16"/>
        <v>0</v>
      </c>
      <c r="M25" s="108">
        <f t="shared" si="17"/>
        <v>0</v>
      </c>
      <c r="N25" s="91" t="str">
        <f t="shared" ref="N25:N80" si="21">IF(M25&gt;0.49,"*","")</f>
        <v/>
      </c>
    </row>
    <row r="26" spans="1:21" ht="11.4" hidden="1" x14ac:dyDescent="0.2">
      <c r="A26" s="111" t="e">
        <f>+#REF!</f>
        <v>#REF!</v>
      </c>
      <c r="B26" s="109" t="s">
        <v>175</v>
      </c>
      <c r="C26" s="103"/>
      <c r="D26" s="104"/>
      <c r="E26" s="105">
        <f t="shared" si="18"/>
        <v>0</v>
      </c>
      <c r="F26" s="106">
        <f t="shared" si="19"/>
        <v>0</v>
      </c>
      <c r="G26" s="90" t="s">
        <v>146</v>
      </c>
      <c r="H26" s="106">
        <f t="shared" si="14"/>
        <v>0</v>
      </c>
      <c r="I26" s="106" t="str">
        <f t="shared" si="12"/>
        <v xml:space="preserve"> </v>
      </c>
      <c r="J26" s="107" t="s">
        <v>58</v>
      </c>
      <c r="K26" s="106">
        <f t="shared" si="15"/>
        <v>0</v>
      </c>
      <c r="L26" s="106">
        <f t="shared" si="16"/>
        <v>0</v>
      </c>
      <c r="M26" s="108">
        <f t="shared" si="17"/>
        <v>0</v>
      </c>
      <c r="N26" s="91" t="str">
        <f t="shared" si="21"/>
        <v/>
      </c>
    </row>
    <row r="27" spans="1:21" ht="11.4" x14ac:dyDescent="0.2">
      <c r="A27" s="111" t="e">
        <f>+#REF!</f>
        <v>#REF!</v>
      </c>
      <c r="B27" s="109" t="s">
        <v>175</v>
      </c>
      <c r="C27" s="103" t="s">
        <v>186</v>
      </c>
      <c r="D27" s="114">
        <f>AVERAGE(P27:U27)</f>
        <v>280.88833333333338</v>
      </c>
      <c r="E27" s="105">
        <f>+D27*20*PRInf</f>
        <v>5730.1220000000012</v>
      </c>
      <c r="F27" s="106">
        <f t="shared" si="19"/>
        <v>473.30807720000013</v>
      </c>
      <c r="G27" s="90" t="s">
        <v>146</v>
      </c>
      <c r="H27" s="106">
        <f t="shared" si="14"/>
        <v>438.35433300000011</v>
      </c>
      <c r="I27" s="106" t="str">
        <f t="shared" si="12"/>
        <v xml:space="preserve"> </v>
      </c>
      <c r="J27" s="107" t="s">
        <v>58</v>
      </c>
      <c r="K27" s="106">
        <f t="shared" si="15"/>
        <v>57.301220000000015</v>
      </c>
      <c r="L27" s="106">
        <f t="shared" si="16"/>
        <v>57.301220000000015</v>
      </c>
      <c r="M27" s="108">
        <f t="shared" si="17"/>
        <v>6756.3868502000014</v>
      </c>
      <c r="N27" s="91" t="str">
        <f t="shared" si="21"/>
        <v>*</v>
      </c>
      <c r="P27" s="98">
        <v>185.63</v>
      </c>
      <c r="Q27" s="98">
        <v>412.5</v>
      </c>
      <c r="R27" s="98">
        <v>618.75</v>
      </c>
      <c r="S27" s="98">
        <v>206.25</v>
      </c>
      <c r="T27" s="98">
        <v>165</v>
      </c>
      <c r="U27" s="91">
        <v>97.2</v>
      </c>
    </row>
    <row r="28" spans="1:21" ht="11.4" x14ac:dyDescent="0.2">
      <c r="A28" s="111" t="e">
        <f>+#REF!</f>
        <v>#REF!</v>
      </c>
      <c r="B28" s="109" t="s">
        <v>175</v>
      </c>
      <c r="C28" s="103" t="s">
        <v>160</v>
      </c>
      <c r="D28" s="114">
        <f>AVERAGE(P28:U28)</f>
        <v>237.15166666666664</v>
      </c>
      <c r="E28" s="105">
        <f>+D28*20*PRInf</f>
        <v>4837.8939999999993</v>
      </c>
      <c r="F28" s="106">
        <f t="shared" ref="F28" si="22">IF(G28="Y",E28*$F$5," ")</f>
        <v>399.61004439999999</v>
      </c>
      <c r="G28" s="90" t="s">
        <v>146</v>
      </c>
      <c r="H28" s="106">
        <f t="shared" si="14"/>
        <v>370.09889099999992</v>
      </c>
      <c r="I28" s="106">
        <f t="shared" si="12"/>
        <v>6009.5807999999997</v>
      </c>
      <c r="J28" s="137" t="s">
        <v>146</v>
      </c>
      <c r="K28" s="106">
        <f t="shared" si="15"/>
        <v>48.378939999999993</v>
      </c>
      <c r="L28" s="106">
        <f t="shared" ref="L28" si="23">IF(E28&gt;7000,7000*$K$5,E28*$K$5)</f>
        <v>48.378939999999993</v>
      </c>
      <c r="M28" s="108">
        <f t="shared" ref="M28" si="24">SUM(H28:L28,E28:F28)</f>
        <v>11713.941615399999</v>
      </c>
      <c r="N28" s="91" t="str">
        <f t="shared" si="21"/>
        <v>*</v>
      </c>
      <c r="P28" s="98">
        <v>209.25</v>
      </c>
      <c r="Q28" s="98">
        <v>209.25</v>
      </c>
      <c r="R28" s="98">
        <v>313.88</v>
      </c>
      <c r="S28" s="98">
        <v>209.25</v>
      </c>
      <c r="T28" s="98">
        <v>272.02999999999997</v>
      </c>
      <c r="U28" s="91">
        <v>209.25</v>
      </c>
    </row>
    <row r="29" spans="1:21" ht="11.4" hidden="1" x14ac:dyDescent="0.2">
      <c r="A29" s="111" t="e">
        <f>+#REF!</f>
        <v>#REF!</v>
      </c>
      <c r="B29" s="109" t="s">
        <v>175</v>
      </c>
      <c r="C29" s="103"/>
      <c r="D29" s="104"/>
      <c r="E29" s="105">
        <f t="shared" si="18"/>
        <v>0</v>
      </c>
      <c r="F29" s="106">
        <f t="shared" si="19"/>
        <v>0</v>
      </c>
      <c r="G29" s="90" t="s">
        <v>146</v>
      </c>
      <c r="H29" s="106">
        <f t="shared" si="14"/>
        <v>0</v>
      </c>
      <c r="I29" s="106" t="str">
        <f t="shared" si="12"/>
        <v xml:space="preserve"> </v>
      </c>
      <c r="J29" s="107" t="s">
        <v>58</v>
      </c>
      <c r="K29" s="106">
        <f t="shared" si="15"/>
        <v>0</v>
      </c>
      <c r="L29" s="106">
        <f t="shared" si="16"/>
        <v>0</v>
      </c>
      <c r="M29" s="108">
        <f t="shared" si="17"/>
        <v>0</v>
      </c>
      <c r="N29" s="91" t="str">
        <f t="shared" ref="N29" si="25">IF(M29&gt;0.49,"*","")</f>
        <v/>
      </c>
    </row>
    <row r="30" spans="1:21" ht="11.4" hidden="1" x14ac:dyDescent="0.2">
      <c r="A30" s="111" t="e">
        <f>+#REF!</f>
        <v>#REF!</v>
      </c>
      <c r="B30" s="109" t="s">
        <v>175</v>
      </c>
      <c r="D30" s="105"/>
      <c r="E30" s="105"/>
      <c r="F30" s="106">
        <f t="shared" si="19"/>
        <v>0</v>
      </c>
      <c r="G30" s="90" t="s">
        <v>146</v>
      </c>
      <c r="H30" s="106">
        <f t="shared" si="14"/>
        <v>0</v>
      </c>
      <c r="I30" s="106" t="str">
        <f t="shared" si="12"/>
        <v xml:space="preserve"> </v>
      </c>
      <c r="J30" s="90" t="s">
        <v>58</v>
      </c>
      <c r="K30" s="106">
        <f t="shared" si="15"/>
        <v>0</v>
      </c>
      <c r="L30" s="106">
        <f t="shared" si="16"/>
        <v>0</v>
      </c>
      <c r="M30" s="108">
        <f t="shared" ref="M30:M33" si="26">SUM(H30:L30,E30:F30)</f>
        <v>0</v>
      </c>
      <c r="N30" s="91" t="str">
        <f t="shared" si="21"/>
        <v/>
      </c>
    </row>
    <row r="31" spans="1:21" ht="12.75" hidden="1" customHeight="1" x14ac:dyDescent="0.2">
      <c r="A31" s="111" t="e">
        <f>+#REF!</f>
        <v>#REF!</v>
      </c>
      <c r="B31" s="109" t="s">
        <v>175</v>
      </c>
      <c r="D31" s="114"/>
      <c r="E31" s="105"/>
      <c r="F31" s="106">
        <f t="shared" si="19"/>
        <v>0</v>
      </c>
      <c r="G31" s="90" t="s">
        <v>146</v>
      </c>
      <c r="H31" s="106">
        <f t="shared" ref="H31:H33" si="27">+$E31*$H$5</f>
        <v>0</v>
      </c>
      <c r="I31" s="106" t="str">
        <f t="shared" si="12"/>
        <v xml:space="preserve"> </v>
      </c>
      <c r="J31" s="90" t="s">
        <v>58</v>
      </c>
      <c r="K31" s="106">
        <f t="shared" ref="K31:K33" si="28">+$E31*$I$5</f>
        <v>0</v>
      </c>
      <c r="L31" s="106">
        <f t="shared" ref="L31:L33" si="29">IF(E31&gt;7000,7000*$K$5,E31*$K$5)</f>
        <v>0</v>
      </c>
      <c r="M31" s="108">
        <f t="shared" si="26"/>
        <v>0</v>
      </c>
      <c r="N31" s="91" t="str">
        <f t="shared" si="21"/>
        <v/>
      </c>
    </row>
    <row r="32" spans="1:21" ht="12.75" hidden="1" customHeight="1" x14ac:dyDescent="0.2">
      <c r="A32" s="123"/>
      <c r="B32" s="109" t="s">
        <v>175</v>
      </c>
      <c r="D32" s="114"/>
      <c r="E32" s="105"/>
      <c r="F32" s="106">
        <f t="shared" si="19"/>
        <v>0</v>
      </c>
      <c r="G32" s="90" t="s">
        <v>146</v>
      </c>
      <c r="H32" s="106">
        <f t="shared" si="27"/>
        <v>0</v>
      </c>
      <c r="I32" s="106" t="str">
        <f t="shared" si="12"/>
        <v xml:space="preserve"> </v>
      </c>
      <c r="J32" s="90" t="s">
        <v>58</v>
      </c>
      <c r="K32" s="106">
        <f t="shared" si="28"/>
        <v>0</v>
      </c>
      <c r="L32" s="106">
        <f t="shared" ref="L32" si="30">IF(E32&gt;7000,7000*$K$5,E32*$K$5)</f>
        <v>0</v>
      </c>
      <c r="M32" s="108">
        <f t="shared" ref="M32" si="31">SUM(H32:L32,E32:F32)</f>
        <v>0</v>
      </c>
      <c r="N32" s="91" t="str">
        <f t="shared" ref="N32" si="32">IF(M32&gt;0.49,"*","")</f>
        <v/>
      </c>
    </row>
    <row r="33" spans="1:21" ht="12.75" hidden="1" customHeight="1" x14ac:dyDescent="0.2">
      <c r="A33" s="123"/>
      <c r="B33" s="109" t="s">
        <v>175</v>
      </c>
      <c r="D33" s="114"/>
      <c r="E33" s="105"/>
      <c r="F33" s="106">
        <f t="shared" si="19"/>
        <v>0</v>
      </c>
      <c r="G33" s="90" t="s">
        <v>146</v>
      </c>
      <c r="H33" s="106">
        <f t="shared" si="27"/>
        <v>0</v>
      </c>
      <c r="I33" s="106" t="str">
        <f t="shared" si="12"/>
        <v xml:space="preserve"> </v>
      </c>
      <c r="J33" s="90" t="s">
        <v>58</v>
      </c>
      <c r="K33" s="106">
        <f t="shared" si="28"/>
        <v>0</v>
      </c>
      <c r="L33" s="106">
        <f t="shared" si="29"/>
        <v>0</v>
      </c>
      <c r="M33" s="108">
        <f t="shared" si="26"/>
        <v>0</v>
      </c>
      <c r="N33" s="91" t="str">
        <f t="shared" si="21"/>
        <v/>
      </c>
    </row>
    <row r="34" spans="1:21" ht="15.9" customHeight="1" x14ac:dyDescent="0.25">
      <c r="A34" s="115">
        <v>1</v>
      </c>
      <c r="B34" s="120" t="s">
        <v>206</v>
      </c>
      <c r="C34" s="117" t="s">
        <v>173</v>
      </c>
      <c r="D34" s="114">
        <f>SUM(D22:D33)</f>
        <v>518.04</v>
      </c>
      <c r="E34" s="118">
        <f>SUM(E22:E33)</f>
        <v>10568.016</v>
      </c>
      <c r="F34" s="118">
        <f>SUM(F22:F33)</f>
        <v>872.91812160000018</v>
      </c>
      <c r="H34" s="118">
        <f>SUM(H22:H33)</f>
        <v>808.45322400000009</v>
      </c>
      <c r="I34" s="118">
        <f>SUM(I22:I33)</f>
        <v>6009.5807999999997</v>
      </c>
      <c r="J34" s="119"/>
      <c r="K34" s="118">
        <f>SUM(K22:K33)</f>
        <v>105.68016</v>
      </c>
      <c r="L34" s="118">
        <f>SUM(L22:L33)</f>
        <v>105.68016</v>
      </c>
      <c r="M34" s="118">
        <f>SUM(M22:M33)</f>
        <v>18470.3284656</v>
      </c>
      <c r="N34" s="91" t="str">
        <f t="shared" si="21"/>
        <v>*</v>
      </c>
    </row>
    <row r="35" spans="1:21" ht="11.4" x14ac:dyDescent="0.2">
      <c r="A35" s="110">
        <v>8</v>
      </c>
      <c r="B35" s="112"/>
      <c r="C35" s="103"/>
      <c r="D35" s="105"/>
      <c r="E35" s="106"/>
      <c r="F35" s="90"/>
      <c r="G35" s="106"/>
      <c r="H35" s="106"/>
      <c r="I35" s="107"/>
      <c r="J35" s="106"/>
      <c r="K35" s="106"/>
      <c r="L35" s="108"/>
      <c r="N35" s="91" t="str">
        <f>IF(N34="*","*","")</f>
        <v>*</v>
      </c>
      <c r="S35" s="135"/>
    </row>
    <row r="36" spans="1:21" ht="12.75" hidden="1" customHeight="1" x14ac:dyDescent="0.2">
      <c r="A36" s="115">
        <v>9</v>
      </c>
      <c r="B36" s="109" t="s">
        <v>176</v>
      </c>
      <c r="C36" s="103"/>
      <c r="D36" s="114"/>
      <c r="E36" s="105">
        <f>+D36*24*PRInf</f>
        <v>0</v>
      </c>
      <c r="F36" s="106">
        <f t="shared" ref="F36:F39" si="33">IF(G36="Y",E36*$F$5," ")</f>
        <v>0</v>
      </c>
      <c r="G36" s="90" t="s">
        <v>146</v>
      </c>
      <c r="H36" s="106">
        <f>+$E36*$H$5</f>
        <v>0</v>
      </c>
      <c r="I36" s="106" t="str">
        <f>IF(J36="Y",((245.79+2.13)*1.01)*24," ")</f>
        <v xml:space="preserve"> </v>
      </c>
      <c r="J36" s="107" t="s">
        <v>58</v>
      </c>
      <c r="K36" s="106">
        <f>+$E36*$I$5</f>
        <v>0</v>
      </c>
      <c r="L36" s="106">
        <f>IF(E36&gt;7000,7000*$K$5,E36*$K$5)</f>
        <v>0</v>
      </c>
      <c r="M36" s="108">
        <f>SUM(H36:L36,E36:F36)</f>
        <v>0</v>
      </c>
      <c r="N36" s="91" t="str">
        <f t="shared" si="21"/>
        <v/>
      </c>
      <c r="T36" s="135"/>
    </row>
    <row r="37" spans="1:21" ht="12.75" hidden="1" customHeight="1" x14ac:dyDescent="0.2">
      <c r="A37" s="115">
        <f>A36</f>
        <v>9</v>
      </c>
      <c r="B37" s="109" t="s">
        <v>176</v>
      </c>
      <c r="C37" s="103"/>
      <c r="D37" s="114"/>
      <c r="E37" s="105">
        <f>+D37*24*PRInf</f>
        <v>0</v>
      </c>
      <c r="F37" s="106">
        <f t="shared" si="33"/>
        <v>0</v>
      </c>
      <c r="G37" s="90" t="s">
        <v>146</v>
      </c>
      <c r="H37" s="106">
        <f>+$E37*$H$5</f>
        <v>0</v>
      </c>
      <c r="I37" s="106" t="str">
        <f>IF(J37="Y",((245.79+2.13)*1.01)*24," ")</f>
        <v xml:space="preserve"> </v>
      </c>
      <c r="J37" s="107" t="s">
        <v>58</v>
      </c>
      <c r="K37" s="106">
        <f>+$E37*$I$5</f>
        <v>0</v>
      </c>
      <c r="L37" s="106">
        <f>IF(E37&gt;7000,7000*$K$5,E37*$K$5)</f>
        <v>0</v>
      </c>
      <c r="M37" s="108">
        <f>SUM(H37:L37,E37:F37)</f>
        <v>0</v>
      </c>
      <c r="N37" s="91" t="str">
        <f t="shared" si="21"/>
        <v/>
      </c>
      <c r="T37" s="135"/>
    </row>
    <row r="38" spans="1:21" ht="12.75" hidden="1" customHeight="1" x14ac:dyDescent="0.2">
      <c r="A38" s="115"/>
      <c r="B38" s="109" t="s">
        <v>176</v>
      </c>
      <c r="C38" s="103"/>
      <c r="D38" s="114"/>
      <c r="E38" s="105">
        <f>+D38*24*PRInf</f>
        <v>0</v>
      </c>
      <c r="F38" s="106">
        <f t="shared" si="33"/>
        <v>0</v>
      </c>
      <c r="G38" s="90" t="s">
        <v>146</v>
      </c>
      <c r="H38" s="106">
        <f>+$E38*$H$5</f>
        <v>0</v>
      </c>
      <c r="I38" s="106" t="str">
        <f>IF(J38="Y",((245.79+2.13)*1.01)*24," ")</f>
        <v xml:space="preserve"> </v>
      </c>
      <c r="J38" s="107" t="s">
        <v>58</v>
      </c>
      <c r="K38" s="106">
        <f>+$E38*$I$5</f>
        <v>0</v>
      </c>
      <c r="L38" s="106">
        <f>IF(E38&gt;7000,7000*$K$5,E38*$K$5)</f>
        <v>0</v>
      </c>
      <c r="M38" s="108">
        <f>SUM(H38:L38,E38:F38)</f>
        <v>0</v>
      </c>
      <c r="N38" s="91" t="str">
        <f t="shared" si="21"/>
        <v/>
      </c>
      <c r="T38" s="135"/>
    </row>
    <row r="39" spans="1:21" ht="12.75" hidden="1" customHeight="1" x14ac:dyDescent="0.2">
      <c r="A39" s="115">
        <v>1</v>
      </c>
      <c r="B39" s="109" t="s">
        <v>176</v>
      </c>
      <c r="C39" s="103"/>
      <c r="D39" s="114"/>
      <c r="E39" s="105">
        <f>+D39*24*PRInf</f>
        <v>0</v>
      </c>
      <c r="F39" s="106">
        <f t="shared" si="33"/>
        <v>0</v>
      </c>
      <c r="G39" s="90" t="s">
        <v>146</v>
      </c>
      <c r="H39" s="106">
        <f>+$E39*$H$5</f>
        <v>0</v>
      </c>
      <c r="I39" s="106" t="str">
        <f>IF(J39="Y",((245.79+2.13)*1.01)*24," ")</f>
        <v xml:space="preserve"> </v>
      </c>
      <c r="J39" s="107" t="s">
        <v>58</v>
      </c>
      <c r="K39" s="106">
        <f>+$E39*$I$5</f>
        <v>0</v>
      </c>
      <c r="L39" s="106">
        <f>IF(E39&gt;7000,7000*$K$5,E39*$K$5)</f>
        <v>0</v>
      </c>
      <c r="M39" s="108">
        <f>SUM(H39:L39,E39:F39)</f>
        <v>0</v>
      </c>
      <c r="N39" s="91" t="str">
        <f t="shared" si="21"/>
        <v/>
      </c>
      <c r="T39" s="135"/>
    </row>
    <row r="40" spans="1:21" ht="12.75" hidden="1" customHeight="1" x14ac:dyDescent="0.25">
      <c r="A40" s="115">
        <f>+A39</f>
        <v>1</v>
      </c>
      <c r="B40" s="120" t="s">
        <v>177</v>
      </c>
      <c r="C40" s="117" t="s">
        <v>63</v>
      </c>
      <c r="D40" s="114"/>
      <c r="E40" s="118">
        <f>SUM(E36:E39)</f>
        <v>0</v>
      </c>
      <c r="F40" s="119">
        <f t="shared" ref="F40:M40" si="34">SUM(F36:F39)</f>
        <v>0</v>
      </c>
      <c r="G40" s="119"/>
      <c r="H40" s="119">
        <f t="shared" si="34"/>
        <v>0</v>
      </c>
      <c r="I40" s="119">
        <f t="shared" si="34"/>
        <v>0</v>
      </c>
      <c r="J40" s="119"/>
      <c r="K40" s="119">
        <f t="shared" si="34"/>
        <v>0</v>
      </c>
      <c r="L40" s="119">
        <f t="shared" si="34"/>
        <v>0</v>
      </c>
      <c r="M40" s="119">
        <f t="shared" si="34"/>
        <v>0</v>
      </c>
      <c r="N40" s="91" t="str">
        <f t="shared" si="21"/>
        <v/>
      </c>
      <c r="T40" s="135"/>
    </row>
    <row r="41" spans="1:21" ht="12.75" hidden="1" customHeight="1" x14ac:dyDescent="0.25">
      <c r="A41" s="115"/>
      <c r="B41" s="121"/>
      <c r="C41" s="103"/>
      <c r="D41" s="114"/>
      <c r="E41" s="122"/>
      <c r="F41" s="108"/>
      <c r="N41" s="91" t="str">
        <f>IF(N40="*","*","")</f>
        <v/>
      </c>
      <c r="T41" s="135"/>
    </row>
    <row r="42" spans="1:21" ht="12.75" hidden="1" customHeight="1" x14ac:dyDescent="0.2">
      <c r="A42" s="123">
        <v>1</v>
      </c>
      <c r="B42" s="109" t="s">
        <v>207</v>
      </c>
      <c r="C42" s="124"/>
      <c r="D42" s="114"/>
      <c r="E42" s="105"/>
      <c r="F42" s="106">
        <f t="shared" ref="F42:F56" si="35">IF(G42="Y",E42*$F$5," ")</f>
        <v>0</v>
      </c>
      <c r="G42" s="90" t="s">
        <v>146</v>
      </c>
      <c r="H42" s="106">
        <f>+$E42*$H$5</f>
        <v>0</v>
      </c>
      <c r="I42" s="106" t="str">
        <f t="shared" ref="I42:I56" si="36">IF(J42="Y",((245.79+2.13)*1.01)*24," ")</f>
        <v xml:space="preserve"> </v>
      </c>
      <c r="J42" s="106" t="s">
        <v>58</v>
      </c>
      <c r="K42" s="106">
        <f>+$E42*$I$5</f>
        <v>0</v>
      </c>
      <c r="L42" s="106">
        <f>IF(E42&gt;7000,7000*$K$5,E42*$K$5)</f>
        <v>0</v>
      </c>
      <c r="M42" s="108">
        <f>SUM(H42:L42,E42:F42)</f>
        <v>0</v>
      </c>
      <c r="N42" s="91" t="str">
        <f t="shared" si="21"/>
        <v/>
      </c>
      <c r="T42" s="135"/>
    </row>
    <row r="43" spans="1:21" ht="12.75" customHeight="1" x14ac:dyDescent="0.2">
      <c r="A43" s="123">
        <v>3</v>
      </c>
      <c r="B43" s="109" t="s">
        <v>207</v>
      </c>
      <c r="C43" s="124" t="s">
        <v>161</v>
      </c>
      <c r="D43" s="114">
        <f>AVERAGE(P43:U43)</f>
        <v>1308.1499999999999</v>
      </c>
      <c r="E43" s="105">
        <f t="shared" ref="E43:E56" si="37">+D43*24*PRInf</f>
        <v>32023.511999999999</v>
      </c>
      <c r="F43" s="106">
        <f t="shared" si="35"/>
        <v>2645.1420912000003</v>
      </c>
      <c r="G43" s="90" t="s">
        <v>146</v>
      </c>
      <c r="H43" s="106">
        <f>+$E43*$H$5</f>
        <v>2449.7986679999999</v>
      </c>
      <c r="I43" s="106">
        <f t="shared" si="36"/>
        <v>6009.5807999999997</v>
      </c>
      <c r="J43" s="136" t="s">
        <v>146</v>
      </c>
      <c r="K43" s="106">
        <f>+$E43*$I$5</f>
        <v>320.23511999999999</v>
      </c>
      <c r="L43" s="106">
        <f>IF(E43&gt;7000,7000*$K$5,E43*$K$5)</f>
        <v>70</v>
      </c>
      <c r="M43" s="108">
        <f>SUM(H43:L43,E43:F43)</f>
        <v>43518.268679200002</v>
      </c>
      <c r="N43" s="91" t="str">
        <f t="shared" si="21"/>
        <v>*</v>
      </c>
      <c r="P43" s="98">
        <v>1053.75</v>
      </c>
      <c r="Q43" s="98">
        <v>1167.45</v>
      </c>
      <c r="R43" s="98">
        <v>1755</v>
      </c>
      <c r="S43" s="98">
        <v>1191.75</v>
      </c>
      <c r="T43" s="98">
        <v>1546.2</v>
      </c>
      <c r="U43" s="91">
        <v>1134.75</v>
      </c>
    </row>
    <row r="44" spans="1:21" ht="12.75" customHeight="1" x14ac:dyDescent="0.2">
      <c r="A44" s="123">
        <f>+A43</f>
        <v>3</v>
      </c>
      <c r="B44" s="109" t="s">
        <v>207</v>
      </c>
      <c r="C44" s="124" t="s">
        <v>162</v>
      </c>
      <c r="D44" s="114">
        <f t="shared" ref="D44:D48" si="38">AVERAGE(P44:U44)</f>
        <v>1388.325</v>
      </c>
      <c r="E44" s="105">
        <f t="shared" si="37"/>
        <v>33986.196000000004</v>
      </c>
      <c r="F44" s="106">
        <f t="shared" si="35"/>
        <v>2807.2597896000007</v>
      </c>
      <c r="G44" s="90" t="s">
        <v>146</v>
      </c>
      <c r="H44" s="106">
        <f>+$E44*$H$5</f>
        <v>2599.9439940000002</v>
      </c>
      <c r="I44" s="106">
        <f t="shared" si="36"/>
        <v>6009.5807999999997</v>
      </c>
      <c r="J44" s="106" t="s">
        <v>146</v>
      </c>
      <c r="K44" s="106">
        <f>+$E44*$I$5</f>
        <v>339.86196000000007</v>
      </c>
      <c r="L44" s="106">
        <f>IF(E44&gt;7000,7000*$K$5,E44*$K$5)</f>
        <v>70</v>
      </c>
      <c r="M44" s="108">
        <f>SUM(H44:L44,E44:F44)</f>
        <v>45812.842543600003</v>
      </c>
      <c r="N44" s="91" t="str">
        <f t="shared" si="21"/>
        <v>*</v>
      </c>
      <c r="P44" s="98">
        <v>1411.2</v>
      </c>
      <c r="Q44" s="98">
        <v>1157.55</v>
      </c>
      <c r="R44" s="98">
        <v>1788.75</v>
      </c>
      <c r="S44" s="98">
        <v>1200</v>
      </c>
      <c r="T44" s="98">
        <v>1597.5</v>
      </c>
      <c r="U44" s="91">
        <v>1174.95</v>
      </c>
    </row>
    <row r="45" spans="1:21" ht="12.75" customHeight="1" x14ac:dyDescent="0.2">
      <c r="A45" s="115"/>
      <c r="B45" s="109" t="s">
        <v>207</v>
      </c>
      <c r="C45" s="124" t="s">
        <v>163</v>
      </c>
      <c r="D45" s="114">
        <f t="shared" si="38"/>
        <v>1361.95</v>
      </c>
      <c r="E45" s="105">
        <f t="shared" si="37"/>
        <v>33340.536</v>
      </c>
      <c r="F45" s="106">
        <f t="shared" si="35"/>
        <v>2753.9282736</v>
      </c>
      <c r="G45" s="90" t="s">
        <v>146</v>
      </c>
      <c r="H45" s="106">
        <f t="shared" ref="H45:H55" si="39">+$E45*$H$5</f>
        <v>2550.5510039999999</v>
      </c>
      <c r="I45" s="106">
        <f t="shared" si="36"/>
        <v>6009.5807999999997</v>
      </c>
      <c r="J45" s="136" t="s">
        <v>146</v>
      </c>
      <c r="K45" s="106">
        <f t="shared" ref="K45:K55" si="40">+$E45*$I$5</f>
        <v>333.40536000000003</v>
      </c>
      <c r="L45" s="106">
        <f>IF(E45&gt;7000,7000*$K$5,E45*$K$5)</f>
        <v>70</v>
      </c>
      <c r="M45" s="108">
        <f>SUM(H45:L45,E45:F45)</f>
        <v>45058.001437600004</v>
      </c>
      <c r="N45" s="91" t="str">
        <f t="shared" si="21"/>
        <v>*</v>
      </c>
      <c r="P45" s="98">
        <v>1375.05</v>
      </c>
      <c r="Q45" s="98">
        <v>1076.7</v>
      </c>
      <c r="R45" s="98">
        <v>1767.45</v>
      </c>
      <c r="S45" s="98">
        <v>1200</v>
      </c>
      <c r="T45" s="98">
        <v>1552.5</v>
      </c>
      <c r="U45" s="91">
        <v>1200</v>
      </c>
    </row>
    <row r="46" spans="1:21" ht="12.75" customHeight="1" x14ac:dyDescent="0.2">
      <c r="A46" s="115"/>
      <c r="B46" s="109" t="s">
        <v>207</v>
      </c>
      <c r="C46" s="124" t="s">
        <v>164</v>
      </c>
      <c r="D46" s="114">
        <f t="shared" si="38"/>
        <v>931.18000000000018</v>
      </c>
      <c r="E46" s="105">
        <f t="shared" si="37"/>
        <v>22795.286400000005</v>
      </c>
      <c r="F46" s="106">
        <f t="shared" si="35"/>
        <v>1882.8906566400005</v>
      </c>
      <c r="G46" s="90" t="s">
        <v>146</v>
      </c>
      <c r="H46" s="106">
        <f t="shared" si="39"/>
        <v>1743.8394096000004</v>
      </c>
      <c r="I46" s="106">
        <f t="shared" si="36"/>
        <v>6009.5807999999997</v>
      </c>
      <c r="J46" s="136" t="s">
        <v>146</v>
      </c>
      <c r="K46" s="106">
        <f t="shared" si="40"/>
        <v>227.95286400000006</v>
      </c>
      <c r="L46" s="106">
        <f>IF(E46&gt;7000,7000*$K$5,E46*$K$5)</f>
        <v>70</v>
      </c>
      <c r="M46" s="108">
        <f>SUM(H46:L46,E46:F46)</f>
        <v>32729.550130240004</v>
      </c>
      <c r="N46" s="91" t="str">
        <f t="shared" si="21"/>
        <v>*</v>
      </c>
      <c r="P46" s="98">
        <v>916.56</v>
      </c>
      <c r="Q46" s="98">
        <v>876.24</v>
      </c>
      <c r="R46" s="98">
        <v>1080</v>
      </c>
      <c r="S46" s="98">
        <v>831.84</v>
      </c>
      <c r="T46" s="98">
        <v>1061.6400000000001</v>
      </c>
      <c r="U46" s="91">
        <v>820.8</v>
      </c>
    </row>
    <row r="47" spans="1:21" ht="12.75" customHeight="1" x14ac:dyDescent="0.2">
      <c r="A47" s="115">
        <v>1</v>
      </c>
      <c r="B47" s="109" t="s">
        <v>207</v>
      </c>
      <c r="C47" s="124" t="s">
        <v>165</v>
      </c>
      <c r="D47" s="114">
        <f t="shared" si="38"/>
        <v>642.24666666666667</v>
      </c>
      <c r="E47" s="105">
        <f t="shared" si="37"/>
        <v>15722.198400000001</v>
      </c>
      <c r="F47" s="106">
        <f t="shared" si="35"/>
        <v>1298.6535878400002</v>
      </c>
      <c r="G47" s="90" t="s">
        <v>146</v>
      </c>
      <c r="H47" s="106">
        <f t="shared" si="39"/>
        <v>1202.7481776</v>
      </c>
      <c r="I47" s="106" t="str">
        <f t="shared" si="36"/>
        <v xml:space="preserve"> </v>
      </c>
      <c r="J47" s="136" t="s">
        <v>58</v>
      </c>
      <c r="K47" s="106">
        <f t="shared" si="40"/>
        <v>157.22198400000002</v>
      </c>
      <c r="L47" s="106">
        <f t="shared" ref="L47:L55" si="41">IF(E47&gt;7000,7000*$K$5,E47*$K$5)</f>
        <v>70</v>
      </c>
      <c r="M47" s="108">
        <f t="shared" ref="M47:M55" si="42">SUM(H47:L47,E47:F47)</f>
        <v>18450.822149439999</v>
      </c>
      <c r="N47" s="91" t="str">
        <f t="shared" si="21"/>
        <v>*</v>
      </c>
      <c r="P47" s="98">
        <v>369.04</v>
      </c>
      <c r="Q47" s="98">
        <v>682.08</v>
      </c>
      <c r="R47" s="98">
        <v>979.22</v>
      </c>
      <c r="S47" s="98">
        <v>642.1</v>
      </c>
      <c r="T47" s="98">
        <v>772.46</v>
      </c>
      <c r="U47" s="91">
        <v>408.58</v>
      </c>
    </row>
    <row r="48" spans="1:21" ht="12.75" customHeight="1" x14ac:dyDescent="0.2">
      <c r="A48" s="115">
        <v>1</v>
      </c>
      <c r="B48" s="109" t="s">
        <v>207</v>
      </c>
      <c r="C48" s="124" t="s">
        <v>166</v>
      </c>
      <c r="D48" s="114">
        <f t="shared" si="38"/>
        <v>1274.7749999999999</v>
      </c>
      <c r="E48" s="105">
        <f t="shared" si="37"/>
        <v>31206.491999999998</v>
      </c>
      <c r="F48" s="106">
        <f t="shared" si="35"/>
        <v>2577.6562392000001</v>
      </c>
      <c r="G48" s="90" t="s">
        <v>146</v>
      </c>
      <c r="H48" s="106">
        <f t="shared" si="39"/>
        <v>2387.2966379999998</v>
      </c>
      <c r="I48" s="106">
        <f t="shared" si="36"/>
        <v>6009.5807999999997</v>
      </c>
      <c r="J48" s="106" t="s">
        <v>146</v>
      </c>
      <c r="K48" s="106">
        <f t="shared" si="40"/>
        <v>312.06491999999997</v>
      </c>
      <c r="L48" s="106">
        <f>IF(E48&gt;7000,7000*$K$5,E48*$K$5)</f>
        <v>70</v>
      </c>
      <c r="M48" s="108">
        <f>SUM(H48:L48,E48:F48)</f>
        <v>42563.090597199996</v>
      </c>
      <c r="N48" s="91" t="str">
        <f t="shared" si="21"/>
        <v>*</v>
      </c>
      <c r="P48" s="98">
        <v>1236.3</v>
      </c>
      <c r="Q48" s="98">
        <v>1175.7</v>
      </c>
      <c r="R48" s="98">
        <v>1734.75</v>
      </c>
      <c r="S48" s="98">
        <v>1149</v>
      </c>
      <c r="T48" s="98">
        <v>1161.45</v>
      </c>
      <c r="U48" s="91">
        <v>1191.45</v>
      </c>
    </row>
    <row r="49" spans="1:21" ht="12.75" hidden="1" customHeight="1" x14ac:dyDescent="0.2">
      <c r="A49" s="115"/>
      <c r="B49" s="109" t="s">
        <v>207</v>
      </c>
      <c r="C49" s="124"/>
      <c r="D49" s="114"/>
      <c r="E49" s="105">
        <f t="shared" si="37"/>
        <v>0</v>
      </c>
      <c r="F49" s="106">
        <f t="shared" si="35"/>
        <v>0</v>
      </c>
      <c r="G49" s="90" t="s">
        <v>146</v>
      </c>
      <c r="H49" s="106">
        <f t="shared" si="39"/>
        <v>0</v>
      </c>
      <c r="I49" s="106" t="str">
        <f t="shared" si="36"/>
        <v xml:space="preserve"> </v>
      </c>
      <c r="J49" s="106" t="s">
        <v>58</v>
      </c>
      <c r="K49" s="106">
        <f t="shared" si="40"/>
        <v>0</v>
      </c>
      <c r="L49" s="106">
        <f t="shared" si="41"/>
        <v>0</v>
      </c>
      <c r="M49" s="108">
        <f t="shared" si="42"/>
        <v>0</v>
      </c>
      <c r="N49" s="91" t="str">
        <f t="shared" si="21"/>
        <v/>
      </c>
    </row>
    <row r="50" spans="1:21" ht="12.75" hidden="1" customHeight="1" x14ac:dyDescent="0.2">
      <c r="A50" s="115">
        <v>7</v>
      </c>
      <c r="B50" s="109" t="s">
        <v>207</v>
      </c>
      <c r="C50" s="124"/>
      <c r="D50" s="114"/>
      <c r="E50" s="105">
        <f t="shared" si="37"/>
        <v>0</v>
      </c>
      <c r="F50" s="106">
        <f t="shared" si="35"/>
        <v>0</v>
      </c>
      <c r="G50" s="90" t="s">
        <v>146</v>
      </c>
      <c r="H50" s="106">
        <f t="shared" si="39"/>
        <v>0</v>
      </c>
      <c r="I50" s="106" t="str">
        <f t="shared" si="36"/>
        <v xml:space="preserve"> </v>
      </c>
      <c r="J50" s="106" t="s">
        <v>58</v>
      </c>
      <c r="K50" s="106">
        <f t="shared" si="40"/>
        <v>0</v>
      </c>
      <c r="L50" s="106">
        <f t="shared" si="41"/>
        <v>0</v>
      </c>
      <c r="M50" s="108">
        <f t="shared" si="42"/>
        <v>0</v>
      </c>
      <c r="N50" s="91" t="str">
        <f t="shared" si="21"/>
        <v/>
      </c>
    </row>
    <row r="51" spans="1:21" ht="12.75" hidden="1" customHeight="1" x14ac:dyDescent="0.2">
      <c r="A51" s="115">
        <f>+A50</f>
        <v>7</v>
      </c>
      <c r="B51" s="109" t="s">
        <v>207</v>
      </c>
      <c r="C51" s="124"/>
      <c r="D51" s="114"/>
      <c r="E51" s="105">
        <f t="shared" si="37"/>
        <v>0</v>
      </c>
      <c r="F51" s="106">
        <f t="shared" si="35"/>
        <v>0</v>
      </c>
      <c r="G51" s="90" t="s">
        <v>146</v>
      </c>
      <c r="H51" s="106">
        <f t="shared" si="39"/>
        <v>0</v>
      </c>
      <c r="I51" s="106" t="str">
        <f t="shared" si="36"/>
        <v xml:space="preserve"> </v>
      </c>
      <c r="J51" s="136" t="s">
        <v>58</v>
      </c>
      <c r="K51" s="106">
        <f t="shared" si="40"/>
        <v>0</v>
      </c>
      <c r="L51" s="106">
        <f t="shared" si="41"/>
        <v>0</v>
      </c>
      <c r="M51" s="108">
        <f t="shared" si="42"/>
        <v>0</v>
      </c>
      <c r="N51" s="91" t="str">
        <f t="shared" si="21"/>
        <v/>
      </c>
    </row>
    <row r="52" spans="1:21" ht="12.75" hidden="1" customHeight="1" x14ac:dyDescent="0.2">
      <c r="A52" s="115">
        <f>+A51</f>
        <v>7</v>
      </c>
      <c r="B52" s="109" t="s">
        <v>207</v>
      </c>
      <c r="C52" s="124"/>
      <c r="D52" s="114"/>
      <c r="E52" s="105">
        <f t="shared" si="37"/>
        <v>0</v>
      </c>
      <c r="F52" s="106">
        <f t="shared" si="35"/>
        <v>0</v>
      </c>
      <c r="G52" s="90" t="s">
        <v>146</v>
      </c>
      <c r="H52" s="106">
        <f t="shared" si="39"/>
        <v>0</v>
      </c>
      <c r="I52" s="106" t="str">
        <f t="shared" si="36"/>
        <v xml:space="preserve"> </v>
      </c>
      <c r="J52" s="106" t="s">
        <v>58</v>
      </c>
      <c r="K52" s="106">
        <f t="shared" si="40"/>
        <v>0</v>
      </c>
      <c r="L52" s="106">
        <f>IF(E52&gt;7000,7000*$K$5,E52*$K$5)</f>
        <v>0</v>
      </c>
      <c r="M52" s="108">
        <f>SUM(H52:L52,E52:F52)</f>
        <v>0</v>
      </c>
      <c r="N52" s="91" t="str">
        <f t="shared" si="21"/>
        <v/>
      </c>
    </row>
    <row r="53" spans="1:21" ht="12.75" hidden="1" customHeight="1" x14ac:dyDescent="0.2">
      <c r="A53" s="115">
        <v>1</v>
      </c>
      <c r="B53" s="109" t="s">
        <v>207</v>
      </c>
      <c r="C53" s="124"/>
      <c r="D53" s="114"/>
      <c r="E53" s="105">
        <f t="shared" si="37"/>
        <v>0</v>
      </c>
      <c r="F53" s="106">
        <f t="shared" si="35"/>
        <v>0</v>
      </c>
      <c r="G53" s="90" t="s">
        <v>146</v>
      </c>
      <c r="H53" s="106">
        <f t="shared" si="39"/>
        <v>0</v>
      </c>
      <c r="I53" s="106" t="str">
        <f t="shared" si="36"/>
        <v xml:space="preserve"> </v>
      </c>
      <c r="J53" s="106" t="s">
        <v>58</v>
      </c>
      <c r="K53" s="106">
        <f t="shared" si="40"/>
        <v>0</v>
      </c>
      <c r="L53" s="106">
        <f t="shared" si="41"/>
        <v>0</v>
      </c>
      <c r="M53" s="108">
        <f t="shared" si="42"/>
        <v>0</v>
      </c>
      <c r="N53" s="91" t="str">
        <f t="shared" si="21"/>
        <v/>
      </c>
    </row>
    <row r="54" spans="1:21" ht="12.75" hidden="1" customHeight="1" x14ac:dyDescent="0.2">
      <c r="A54" s="115">
        <f>+A53</f>
        <v>1</v>
      </c>
      <c r="B54" s="109" t="s">
        <v>207</v>
      </c>
      <c r="C54" s="124"/>
      <c r="D54" s="114"/>
      <c r="E54" s="105">
        <f t="shared" si="37"/>
        <v>0</v>
      </c>
      <c r="F54" s="106">
        <f t="shared" si="35"/>
        <v>0</v>
      </c>
      <c r="G54" s="90" t="s">
        <v>146</v>
      </c>
      <c r="H54" s="106">
        <f t="shared" si="39"/>
        <v>0</v>
      </c>
      <c r="I54" s="106" t="str">
        <f t="shared" si="36"/>
        <v xml:space="preserve"> </v>
      </c>
      <c r="J54" s="106" t="s">
        <v>58</v>
      </c>
      <c r="K54" s="106">
        <f t="shared" si="40"/>
        <v>0</v>
      </c>
      <c r="L54" s="106">
        <f t="shared" si="41"/>
        <v>0</v>
      </c>
      <c r="M54" s="108">
        <f t="shared" si="42"/>
        <v>0</v>
      </c>
      <c r="N54" s="91" t="str">
        <f t="shared" si="21"/>
        <v/>
      </c>
    </row>
    <row r="55" spans="1:21" ht="12.75" hidden="1" customHeight="1" x14ac:dyDescent="0.2">
      <c r="A55" s="115"/>
      <c r="B55" s="109" t="s">
        <v>207</v>
      </c>
      <c r="C55" s="124"/>
      <c r="D55" s="114"/>
      <c r="E55" s="105">
        <f t="shared" si="37"/>
        <v>0</v>
      </c>
      <c r="F55" s="106">
        <f t="shared" si="35"/>
        <v>0</v>
      </c>
      <c r="G55" s="90" t="s">
        <v>146</v>
      </c>
      <c r="H55" s="106">
        <f t="shared" si="39"/>
        <v>0</v>
      </c>
      <c r="I55" s="106" t="str">
        <f t="shared" si="36"/>
        <v xml:space="preserve"> </v>
      </c>
      <c r="J55" s="106" t="s">
        <v>58</v>
      </c>
      <c r="K55" s="106">
        <f t="shared" si="40"/>
        <v>0</v>
      </c>
      <c r="L55" s="106">
        <f t="shared" si="41"/>
        <v>0</v>
      </c>
      <c r="M55" s="108">
        <f t="shared" si="42"/>
        <v>0</v>
      </c>
      <c r="N55" s="91" t="str">
        <f t="shared" si="21"/>
        <v/>
      </c>
    </row>
    <row r="56" spans="1:21" ht="12.75" hidden="1" customHeight="1" x14ac:dyDescent="0.2">
      <c r="A56" s="115">
        <v>1</v>
      </c>
      <c r="B56" s="109" t="s">
        <v>207</v>
      </c>
      <c r="C56" s="124"/>
      <c r="D56" s="114"/>
      <c r="E56" s="105">
        <f t="shared" si="37"/>
        <v>0</v>
      </c>
      <c r="F56" s="106">
        <f t="shared" si="35"/>
        <v>0</v>
      </c>
      <c r="G56" s="90" t="s">
        <v>146</v>
      </c>
      <c r="H56" s="106">
        <f>+$E56*$H$5</f>
        <v>0</v>
      </c>
      <c r="I56" s="106" t="str">
        <f t="shared" si="36"/>
        <v xml:space="preserve"> </v>
      </c>
      <c r="J56" s="106" t="s">
        <v>58</v>
      </c>
      <c r="K56" s="106">
        <f>+$E56*$I$5</f>
        <v>0</v>
      </c>
      <c r="L56" s="106">
        <f>IF(E56&gt;7000,7000*$K$5,E56*$K$5)</f>
        <v>0</v>
      </c>
      <c r="M56" s="108">
        <f>SUM(H56:L56,E56:F56)</f>
        <v>0</v>
      </c>
    </row>
    <row r="57" spans="1:21" ht="12.75" customHeight="1" x14ac:dyDescent="0.25">
      <c r="A57" s="115">
        <v>4</v>
      </c>
      <c r="B57" s="120" t="s">
        <v>208</v>
      </c>
      <c r="C57" s="117" t="s">
        <v>174</v>
      </c>
      <c r="D57" s="118">
        <f>SUM(D42:D56)</f>
        <v>6906.626666666667</v>
      </c>
      <c r="E57" s="118">
        <f>SUM(E42:E56)</f>
        <v>169074.22080000001</v>
      </c>
      <c r="F57" s="119">
        <f>SUM(F42:F56)</f>
        <v>13965.530638080001</v>
      </c>
      <c r="H57" s="119">
        <f>SUM(H42:H56)</f>
        <v>12934.177891200001</v>
      </c>
      <c r="I57" s="119">
        <f>SUM(I42:I56)</f>
        <v>30047.903999999999</v>
      </c>
      <c r="J57" s="119"/>
      <c r="K57" s="119">
        <f>SUM(K42:K56)</f>
        <v>1690.7422080000001</v>
      </c>
      <c r="L57" s="119">
        <f>SUM(L42:L56)</f>
        <v>420</v>
      </c>
      <c r="M57" s="119">
        <f>SUM(M42:M56)</f>
        <v>228132.57553728003</v>
      </c>
      <c r="N57" s="91" t="str">
        <f t="shared" si="21"/>
        <v>*</v>
      </c>
    </row>
    <row r="58" spans="1:21" ht="12.75" customHeight="1" x14ac:dyDescent="0.2">
      <c r="A58" s="115">
        <f>+A57</f>
        <v>4</v>
      </c>
      <c r="B58" s="112"/>
      <c r="C58" s="103"/>
      <c r="D58" s="114"/>
      <c r="E58" s="122"/>
      <c r="F58" s="108"/>
      <c r="N58" s="91" t="str">
        <f>IF(N57="*","*","")</f>
        <v>*</v>
      </c>
    </row>
    <row r="59" spans="1:21" ht="12.75" hidden="1" customHeight="1" x14ac:dyDescent="0.2">
      <c r="B59" s="124" t="s">
        <v>209</v>
      </c>
      <c r="C59" s="91"/>
      <c r="D59" s="114"/>
      <c r="E59" s="105"/>
      <c r="F59" s="106">
        <f t="shared" ref="F59:F64" si="43">IF(G59="Y",E59*$F$5," ")</f>
        <v>0</v>
      </c>
      <c r="G59" s="90" t="s">
        <v>146</v>
      </c>
      <c r="H59" s="106">
        <f t="shared" ref="H59:H64" si="44">+$E59*$H$5</f>
        <v>0</v>
      </c>
      <c r="I59" s="106" t="str">
        <f t="shared" ref="I59:I64" si="45">IF(J59="Y",((245.79+2.13)*1.01)*24," ")</f>
        <v xml:space="preserve"> </v>
      </c>
      <c r="J59" s="106" t="s">
        <v>58</v>
      </c>
      <c r="K59" s="106">
        <f t="shared" ref="K59:K64" si="46">+$E59*$I$5</f>
        <v>0</v>
      </c>
      <c r="L59" s="106">
        <f t="shared" ref="L59:L64" si="47">IF(E59&gt;7000,7000*$K$5,E59*$K$5)</f>
        <v>0</v>
      </c>
      <c r="M59" s="108">
        <f t="shared" ref="M59:M64" si="48">SUM(H59:L59,E59:F59)</f>
        <v>0</v>
      </c>
      <c r="N59" s="91" t="str">
        <f t="shared" ref="N59:N63" si="49">IF(M59&gt;0.49,"*","")</f>
        <v/>
      </c>
    </row>
    <row r="60" spans="1:21" ht="12.75" customHeight="1" x14ac:dyDescent="0.2">
      <c r="B60" s="109" t="s">
        <v>209</v>
      </c>
      <c r="C60" s="91" t="s">
        <v>167</v>
      </c>
      <c r="D60" s="114">
        <f t="shared" ref="D60:D61" si="50">AVERAGE(P60:U60)</f>
        <v>150</v>
      </c>
      <c r="E60" s="105">
        <f>+D60*24*PRInf</f>
        <v>3672</v>
      </c>
      <c r="F60" s="106">
        <f t="shared" si="43"/>
        <v>303.30720000000002</v>
      </c>
      <c r="G60" s="90" t="s">
        <v>146</v>
      </c>
      <c r="H60" s="106">
        <f t="shared" si="44"/>
        <v>280.90800000000002</v>
      </c>
      <c r="I60" s="106">
        <f t="shared" si="45"/>
        <v>6009.5807999999997</v>
      </c>
      <c r="J60" s="136" t="s">
        <v>146</v>
      </c>
      <c r="K60" s="106">
        <f t="shared" si="46"/>
        <v>36.72</v>
      </c>
      <c r="L60" s="106">
        <f t="shared" si="47"/>
        <v>36.72</v>
      </c>
      <c r="M60" s="108">
        <f t="shared" si="48"/>
        <v>10339.236000000001</v>
      </c>
      <c r="N60" s="91" t="str">
        <f t="shared" ref="N60" si="51">IF(M60&gt;0.49,"*","")</f>
        <v>*</v>
      </c>
      <c r="P60" s="98">
        <v>150</v>
      </c>
      <c r="Q60" s="98">
        <v>150</v>
      </c>
      <c r="R60" s="98">
        <v>150</v>
      </c>
      <c r="S60" s="98">
        <v>150</v>
      </c>
      <c r="T60" s="98">
        <v>150</v>
      </c>
      <c r="U60" s="91">
        <v>150</v>
      </c>
    </row>
    <row r="61" spans="1:21" ht="12.75" customHeight="1" x14ac:dyDescent="0.2">
      <c r="B61" s="109" t="s">
        <v>209</v>
      </c>
      <c r="C61" s="91" t="s">
        <v>168</v>
      </c>
      <c r="D61" s="114">
        <f t="shared" si="50"/>
        <v>687.96999999999991</v>
      </c>
      <c r="E61" s="105">
        <f>+D61*24*PRInf</f>
        <v>16841.5056</v>
      </c>
      <c r="F61" s="106">
        <f t="shared" ref="F61" si="52">IF(G61="Y",E61*$F$5," ")</f>
        <v>1391.1083625600002</v>
      </c>
      <c r="G61" s="90" t="s">
        <v>146</v>
      </c>
      <c r="H61" s="106">
        <f t="shared" si="44"/>
        <v>1288.3751784000001</v>
      </c>
      <c r="I61" s="106">
        <f t="shared" si="45"/>
        <v>6009.5807999999997</v>
      </c>
      <c r="J61" s="136" t="s">
        <v>146</v>
      </c>
      <c r="K61" s="106">
        <f t="shared" si="46"/>
        <v>168.41505600000002</v>
      </c>
      <c r="L61" s="106">
        <f t="shared" si="47"/>
        <v>70</v>
      </c>
      <c r="M61" s="108">
        <f t="shared" si="48"/>
        <v>25768.98499696</v>
      </c>
      <c r="N61" s="91" t="str">
        <f t="shared" si="49"/>
        <v>*</v>
      </c>
      <c r="P61" s="98">
        <v>663.21</v>
      </c>
      <c r="Q61" s="98">
        <v>701.5</v>
      </c>
      <c r="R61" s="98">
        <v>1001.65</v>
      </c>
      <c r="S61" s="98">
        <v>496.46</v>
      </c>
      <c r="T61" s="98">
        <v>735.8</v>
      </c>
      <c r="U61" s="91">
        <v>529.20000000000005</v>
      </c>
    </row>
    <row r="62" spans="1:21" ht="12.75" customHeight="1" x14ac:dyDescent="0.2">
      <c r="B62" s="109" t="s">
        <v>209</v>
      </c>
      <c r="C62" s="91" t="s">
        <v>169</v>
      </c>
      <c r="D62" s="114">
        <f>AVERAGE(P62:U62)</f>
        <v>1074.6666666666667</v>
      </c>
      <c r="E62" s="105">
        <f>+D62*24*PRInf</f>
        <v>26307.84</v>
      </c>
      <c r="F62" s="106">
        <f t="shared" si="43"/>
        <v>2173.0275840000004</v>
      </c>
      <c r="G62" s="90" t="s">
        <v>146</v>
      </c>
      <c r="H62" s="106">
        <f t="shared" si="44"/>
        <v>2012.5497599999999</v>
      </c>
      <c r="I62" s="106">
        <f t="shared" si="45"/>
        <v>6009.5807999999997</v>
      </c>
      <c r="J62" s="106" t="s">
        <v>146</v>
      </c>
      <c r="K62" s="106">
        <f t="shared" si="46"/>
        <v>263.07839999999999</v>
      </c>
      <c r="L62" s="106">
        <f t="shared" si="47"/>
        <v>70</v>
      </c>
      <c r="M62" s="108">
        <f t="shared" si="48"/>
        <v>36836.076544000003</v>
      </c>
      <c r="N62" s="91" t="str">
        <f t="shared" ref="N62" si="53">IF(M62&gt;0.49,"*","")</f>
        <v>*</v>
      </c>
      <c r="P62" s="98">
        <v>1024</v>
      </c>
      <c r="Q62" s="98">
        <v>1024</v>
      </c>
      <c r="R62" s="98">
        <v>1536</v>
      </c>
      <c r="S62" s="98">
        <v>1024</v>
      </c>
      <c r="T62" s="98">
        <v>1040</v>
      </c>
      <c r="U62" s="91">
        <v>800</v>
      </c>
    </row>
    <row r="63" spans="1:21" ht="12.75" hidden="1" customHeight="1" x14ac:dyDescent="0.2">
      <c r="B63" s="124" t="s">
        <v>209</v>
      </c>
      <c r="C63" s="91"/>
      <c r="D63" s="114">
        <v>0</v>
      </c>
      <c r="E63" s="105">
        <f>+D63*24*PRInf</f>
        <v>0</v>
      </c>
      <c r="F63" s="106">
        <f t="shared" ref="F63" si="54">IF(G63="Y",E63*$F$5," ")</f>
        <v>0</v>
      </c>
      <c r="G63" s="90" t="s">
        <v>146</v>
      </c>
      <c r="H63" s="106">
        <f t="shared" si="44"/>
        <v>0</v>
      </c>
      <c r="I63" s="106" t="str">
        <f t="shared" si="45"/>
        <v xml:space="preserve"> </v>
      </c>
      <c r="J63" s="136" t="s">
        <v>58</v>
      </c>
      <c r="K63" s="106">
        <f t="shared" si="46"/>
        <v>0</v>
      </c>
      <c r="L63" s="106">
        <f t="shared" si="47"/>
        <v>0</v>
      </c>
      <c r="M63" s="108">
        <f t="shared" si="48"/>
        <v>0</v>
      </c>
      <c r="N63" s="91" t="str">
        <f t="shared" si="49"/>
        <v/>
      </c>
    </row>
    <row r="64" spans="1:21" ht="12.75" hidden="1" customHeight="1" x14ac:dyDescent="0.2">
      <c r="B64" s="124" t="s">
        <v>209</v>
      </c>
      <c r="C64" s="91"/>
      <c r="D64" s="114"/>
      <c r="E64" s="105"/>
      <c r="F64" s="106">
        <f t="shared" si="43"/>
        <v>0</v>
      </c>
      <c r="G64" s="90" t="s">
        <v>146</v>
      </c>
      <c r="H64" s="106">
        <f t="shared" si="44"/>
        <v>0</v>
      </c>
      <c r="I64" s="106" t="str">
        <f t="shared" si="45"/>
        <v xml:space="preserve"> </v>
      </c>
      <c r="J64" s="106" t="s">
        <v>58</v>
      </c>
      <c r="K64" s="106">
        <f t="shared" si="46"/>
        <v>0</v>
      </c>
      <c r="L64" s="106">
        <f t="shared" si="47"/>
        <v>0</v>
      </c>
      <c r="M64" s="108">
        <f t="shared" si="48"/>
        <v>0</v>
      </c>
      <c r="N64" s="91" t="str">
        <f t="shared" si="21"/>
        <v/>
      </c>
    </row>
    <row r="65" spans="2:21" ht="12.75" customHeight="1" x14ac:dyDescent="0.25">
      <c r="B65" s="120" t="s">
        <v>210</v>
      </c>
      <c r="C65" s="117" t="s">
        <v>153</v>
      </c>
      <c r="D65" s="118">
        <f>SUM(D59:D64)</f>
        <v>1912.6366666666668</v>
      </c>
      <c r="E65" s="118">
        <f>SUM(E59:E64)</f>
        <v>46821.345600000001</v>
      </c>
      <c r="F65" s="118">
        <f>SUM(F59:F64)</f>
        <v>3867.4431465600005</v>
      </c>
      <c r="H65" s="118">
        <f>SUM(H59:H64)</f>
        <v>3581.8329383999999</v>
      </c>
      <c r="I65" s="118">
        <f>SUM(I59:I64)</f>
        <v>18028.742399999999</v>
      </c>
      <c r="J65" s="119"/>
      <c r="K65" s="118">
        <f t="shared" ref="K65:L65" si="55">SUM(K59:K64)</f>
        <v>468.21345600000001</v>
      </c>
      <c r="L65" s="118">
        <f t="shared" si="55"/>
        <v>176.72</v>
      </c>
      <c r="M65" s="118">
        <f>SUM(M59:M64)</f>
        <v>72944.297540960004</v>
      </c>
      <c r="N65" s="91" t="str">
        <f t="shared" si="21"/>
        <v>*</v>
      </c>
    </row>
    <row r="66" spans="2:21" ht="12.75" customHeight="1" x14ac:dyDescent="0.2">
      <c r="B66" s="112"/>
      <c r="C66" s="103"/>
      <c r="D66" s="114"/>
      <c r="E66" s="122"/>
      <c r="F66" s="108"/>
      <c r="I66" s="106" t="str">
        <f>IF(J66="Y",((245.79+2.13)*1.01)*24," ")</f>
        <v xml:space="preserve"> </v>
      </c>
      <c r="N66" s="91" t="str">
        <f>IF(N65="*","*","")</f>
        <v>*</v>
      </c>
    </row>
    <row r="67" spans="2:21" ht="12.75" hidden="1" customHeight="1" x14ac:dyDescent="0.2">
      <c r="B67" s="109" t="s">
        <v>75</v>
      </c>
      <c r="C67" s="103"/>
      <c r="D67" s="114"/>
      <c r="E67" s="105">
        <f>+D67*24*PRInf</f>
        <v>0</v>
      </c>
      <c r="F67" s="106">
        <f t="shared" ref="F67:F68" si="56">IF(G67="Y",E67*$F$5," ")</f>
        <v>0</v>
      </c>
      <c r="G67" s="90" t="s">
        <v>146</v>
      </c>
      <c r="H67" s="106"/>
      <c r="I67" s="106" t="str">
        <f>IF(J67="Y",((245.79+2.13)*1.01)*24," ")</f>
        <v xml:space="preserve"> </v>
      </c>
      <c r="J67" s="106" t="s">
        <v>58</v>
      </c>
      <c r="K67" s="106"/>
      <c r="L67" s="106"/>
      <c r="M67" s="108"/>
      <c r="N67" s="91" t="str">
        <f>IF(M67&gt;0.49,"*","")</f>
        <v/>
      </c>
    </row>
    <row r="68" spans="2:21" ht="12.75" hidden="1" customHeight="1" x14ac:dyDescent="0.2">
      <c r="B68" s="109" t="s">
        <v>75</v>
      </c>
      <c r="D68" s="114"/>
      <c r="E68" s="105">
        <f>+D68*24*PRInf</f>
        <v>0</v>
      </c>
      <c r="F68" s="106">
        <f t="shared" si="56"/>
        <v>0</v>
      </c>
      <c r="G68" s="90" t="s">
        <v>146</v>
      </c>
      <c r="H68" s="106"/>
      <c r="I68" s="106" t="str">
        <f>IF(J68="Y",((245.79+2.13)*1.01)*24," ")</f>
        <v xml:space="preserve"> </v>
      </c>
      <c r="J68" s="106" t="s">
        <v>58</v>
      </c>
      <c r="K68" s="106"/>
      <c r="L68" s="106"/>
      <c r="M68" s="108"/>
      <c r="N68" s="91" t="str">
        <f>IF(M68&gt;0.49,"*","")</f>
        <v/>
      </c>
    </row>
    <row r="69" spans="2:21" ht="12.75" hidden="1" customHeight="1" x14ac:dyDescent="0.25">
      <c r="B69" s="120" t="s">
        <v>76</v>
      </c>
      <c r="C69" s="117" t="s">
        <v>77</v>
      </c>
      <c r="D69" s="114"/>
      <c r="E69" s="118">
        <f>SUM(E67:E68)</f>
        <v>0</v>
      </c>
      <c r="F69" s="119">
        <f>SUM(F67:F68)</f>
        <v>0</v>
      </c>
      <c r="H69" s="119">
        <f>SUM(H67:H68)</f>
        <v>0</v>
      </c>
      <c r="I69" s="119">
        <f>SUM(I67:I68)</f>
        <v>0</v>
      </c>
      <c r="J69" s="119"/>
      <c r="K69" s="119">
        <f>SUM(K67:K68)</f>
        <v>0</v>
      </c>
      <c r="L69" s="119">
        <f>SUM(L67:L68)</f>
        <v>0</v>
      </c>
      <c r="M69" s="119">
        <f>SUM(M67:M68)</f>
        <v>0</v>
      </c>
      <c r="N69" s="91" t="str">
        <f>IF(M69&gt;0.49,"*","")</f>
        <v/>
      </c>
    </row>
    <row r="70" spans="2:21" ht="12.75" hidden="1" customHeight="1" x14ac:dyDescent="0.2">
      <c r="B70" s="112"/>
      <c r="C70" s="103"/>
      <c r="D70" s="114"/>
      <c r="E70" s="122"/>
      <c r="F70" s="108"/>
      <c r="I70" s="106" t="str">
        <f>IF(J70="Y",((245.79+2.13)*1.01)*24," ")</f>
        <v xml:space="preserve"> </v>
      </c>
      <c r="N70" s="91" t="str">
        <f>IF(N69="*","*","")</f>
        <v/>
      </c>
    </row>
    <row r="71" spans="2:21" ht="12.75" hidden="1" customHeight="1" x14ac:dyDescent="0.2">
      <c r="B71" s="109" t="s">
        <v>18</v>
      </c>
      <c r="C71" s="91"/>
      <c r="D71" s="114"/>
      <c r="E71" s="105"/>
      <c r="F71" s="106">
        <f>IF(G71="Y",E71*$F$5," ")</f>
        <v>0</v>
      </c>
      <c r="G71" s="90" t="s">
        <v>146</v>
      </c>
      <c r="H71" s="106">
        <f>+$E71*$H$5</f>
        <v>0</v>
      </c>
      <c r="I71" s="106" t="str">
        <f>IF(J71="Y",((245.79+2.13)*1.01)*24," ")</f>
        <v xml:space="preserve"> </v>
      </c>
      <c r="J71" s="106" t="s">
        <v>58</v>
      </c>
      <c r="K71" s="106">
        <f>+$E71*$I$5</f>
        <v>0</v>
      </c>
      <c r="L71" s="106">
        <f>IF(E71&gt;7000,7000*$K$5,E71*$K$5)</f>
        <v>0</v>
      </c>
      <c r="M71" s="108">
        <f>SUM(H71:L71,E71:F71)</f>
        <v>0</v>
      </c>
      <c r="N71" s="91" t="str">
        <f t="shared" si="21"/>
        <v/>
      </c>
    </row>
    <row r="72" spans="2:21" ht="14.1" hidden="1" customHeight="1" x14ac:dyDescent="0.2">
      <c r="B72" s="109" t="s">
        <v>18</v>
      </c>
      <c r="C72" s="91"/>
      <c r="D72" s="125"/>
      <c r="E72" s="105"/>
      <c r="F72" s="106">
        <f>IF(G72="Y",E72*$F$5," ")</f>
        <v>0</v>
      </c>
      <c r="G72" s="90" t="s">
        <v>146</v>
      </c>
      <c r="H72" s="106">
        <f>+$E72*$H$5</f>
        <v>0</v>
      </c>
      <c r="I72" s="106" t="str">
        <f>IF(J72="Y",((245.79+2.13)*1.01)*24," ")</f>
        <v xml:space="preserve"> </v>
      </c>
      <c r="J72" s="107" t="s">
        <v>58</v>
      </c>
      <c r="K72" s="106">
        <f>+$E72*$I$5</f>
        <v>0</v>
      </c>
      <c r="L72" s="106">
        <f>IF(E72&gt;7000,7000*$K$5,E72*$K$5)</f>
        <v>0</v>
      </c>
      <c r="M72" s="108">
        <f>SUM(H72:L72,E72:F72)</f>
        <v>0</v>
      </c>
      <c r="N72" s="91" t="str">
        <f>IF(M72&gt;0.49,"*","")</f>
        <v/>
      </c>
    </row>
    <row r="73" spans="2:21" ht="12.75" hidden="1" customHeight="1" x14ac:dyDescent="0.2">
      <c r="B73" s="109" t="s">
        <v>18</v>
      </c>
      <c r="C73" s="91"/>
      <c r="D73" s="125"/>
      <c r="E73" s="105"/>
      <c r="F73" s="106">
        <f>IF(G73="Y",E73*$F$5," ")</f>
        <v>0</v>
      </c>
      <c r="G73" s="90" t="s">
        <v>146</v>
      </c>
      <c r="H73" s="106">
        <f>+$E73*$H$5</f>
        <v>0</v>
      </c>
      <c r="I73" s="106" t="str">
        <f>IF(J73="Y",((245.79+2.13)*1.01)*24," ")</f>
        <v xml:space="preserve"> </v>
      </c>
      <c r="J73" s="106" t="s">
        <v>58</v>
      </c>
      <c r="K73" s="106">
        <f>+$E73*$I$5</f>
        <v>0</v>
      </c>
      <c r="L73" s="106">
        <f>IF(E73&gt;7000,7000*$K$5,E73*$K$5)</f>
        <v>0</v>
      </c>
      <c r="M73" s="108">
        <f>SUM(H73:L73,E73:F73)</f>
        <v>0</v>
      </c>
      <c r="N73" s="91" t="str">
        <f t="shared" si="21"/>
        <v/>
      </c>
    </row>
    <row r="74" spans="2:21" ht="12.75" hidden="1" customHeight="1" x14ac:dyDescent="0.25">
      <c r="B74" s="116" t="s">
        <v>5</v>
      </c>
      <c r="C74" s="117" t="s">
        <v>6</v>
      </c>
      <c r="D74" s="114">
        <f>SUM(D71:D73)</f>
        <v>0</v>
      </c>
      <c r="E74" s="118">
        <f>SUM(E71:E73)</f>
        <v>0</v>
      </c>
      <c r="F74" s="118">
        <f>SUM(F71:F73)</f>
        <v>0</v>
      </c>
      <c r="H74" s="118">
        <f>SUM(H71:H73)</f>
        <v>0</v>
      </c>
      <c r="I74" s="118">
        <f>SUM(I71:I73)</f>
        <v>0</v>
      </c>
      <c r="J74" s="119"/>
      <c r="K74" s="118">
        <f>SUM(K71:K73)</f>
        <v>0</v>
      </c>
      <c r="L74" s="118">
        <f>SUM(L71:L73)</f>
        <v>0</v>
      </c>
      <c r="M74" s="119">
        <f>SUM(M71:M73)</f>
        <v>0</v>
      </c>
      <c r="N74" s="91" t="str">
        <f t="shared" si="21"/>
        <v/>
      </c>
    </row>
    <row r="75" spans="2:21" ht="12.75" hidden="1" customHeight="1" x14ac:dyDescent="0.2">
      <c r="B75" s="127"/>
      <c r="C75" s="103"/>
      <c r="D75" s="114"/>
      <c r="E75" s="122"/>
      <c r="F75" s="108"/>
      <c r="N75" s="91" t="str">
        <f>IF(N74="*","*","")</f>
        <v/>
      </c>
    </row>
    <row r="76" spans="2:21" ht="12.75" hidden="1" customHeight="1" x14ac:dyDescent="0.2">
      <c r="B76" s="109" t="s">
        <v>14</v>
      </c>
      <c r="C76" s="103"/>
      <c r="D76" s="125"/>
      <c r="E76" s="105"/>
      <c r="F76" s="106">
        <f t="shared" ref="F76:F80" si="57">IF(G76="Y",E76*$F$5," ")</f>
        <v>0</v>
      </c>
      <c r="G76" s="90" t="s">
        <v>146</v>
      </c>
      <c r="H76" s="106">
        <f>+$E76*$H$5</f>
        <v>0</v>
      </c>
      <c r="I76" s="106" t="str">
        <f>IF(J76="Y",((245.79+2.13)*1.01)*24," ")</f>
        <v xml:space="preserve"> </v>
      </c>
      <c r="J76" s="106" t="s">
        <v>58</v>
      </c>
      <c r="K76" s="106">
        <f>+$E76*$I$5</f>
        <v>0</v>
      </c>
      <c r="L76" s="106">
        <f>IF(E76&gt;7000,7000*$K$5,E76*$K$5)</f>
        <v>0</v>
      </c>
      <c r="M76" s="108">
        <f>SUM(H76:L76,E76:F76)</f>
        <v>0</v>
      </c>
      <c r="N76" s="91" t="str">
        <f t="shared" si="21"/>
        <v/>
      </c>
      <c r="T76" s="135"/>
    </row>
    <row r="77" spans="2:21" ht="12.75" customHeight="1" x14ac:dyDescent="0.2">
      <c r="B77" s="109" t="s">
        <v>14</v>
      </c>
      <c r="C77" s="91" t="s">
        <v>170</v>
      </c>
      <c r="D77" s="114">
        <f t="shared" ref="D77:D79" si="58">AVERAGE(P77:U77)</f>
        <v>233.12666666666667</v>
      </c>
      <c r="E77" s="105">
        <f>+D77*24*PRInf</f>
        <v>5706.9408000000003</v>
      </c>
      <c r="F77" s="106">
        <f t="shared" si="57"/>
        <v>471.39331008000005</v>
      </c>
      <c r="G77" s="90" t="s">
        <v>146</v>
      </c>
      <c r="H77" s="106">
        <f>+$E77*$H$5</f>
        <v>436.58097120000002</v>
      </c>
      <c r="I77" s="106" t="str">
        <f>IF(J77="Y",((245.79+2.13)*1.01)*24," ")</f>
        <v xml:space="preserve"> </v>
      </c>
      <c r="J77" s="106" t="s">
        <v>58</v>
      </c>
      <c r="K77" s="106">
        <f>+$E77*$I$5</f>
        <v>57.069408000000003</v>
      </c>
      <c r="L77" s="106">
        <f t="shared" ref="L77:L78" si="59">IF(E77&gt;7000,7000*$K$5,E77*$K$5)</f>
        <v>57.069408000000003</v>
      </c>
      <c r="M77" s="108">
        <f t="shared" ref="M77" si="60">SUM(H77:L77,E77:F77)</f>
        <v>6729.0538972800005</v>
      </c>
      <c r="N77" s="91" t="str">
        <f t="shared" ref="N77" si="61">IF(M77&gt;0.49,"*","")</f>
        <v>*</v>
      </c>
      <c r="P77" s="98">
        <v>206.25</v>
      </c>
      <c r="Q77" s="98">
        <v>206.25</v>
      </c>
      <c r="R77" s="98">
        <v>309.38</v>
      </c>
      <c r="S77" s="98">
        <v>206.25</v>
      </c>
      <c r="T77" s="98">
        <v>268.13</v>
      </c>
      <c r="U77" s="91">
        <v>202.5</v>
      </c>
    </row>
    <row r="78" spans="2:21" ht="12.75" customHeight="1" x14ac:dyDescent="0.2">
      <c r="B78" s="109" t="s">
        <v>14</v>
      </c>
      <c r="C78" s="91" t="s">
        <v>171</v>
      </c>
      <c r="D78" s="114">
        <f t="shared" si="58"/>
        <v>362.03000000000003</v>
      </c>
      <c r="E78" s="105">
        <f>+D78*24*PRInf</f>
        <v>8862.4944000000014</v>
      </c>
      <c r="F78" s="106">
        <f t="shared" si="57"/>
        <v>732.04203744000017</v>
      </c>
      <c r="G78" s="90" t="s">
        <v>146</v>
      </c>
      <c r="H78" s="106">
        <f>+$E78*$H$5</f>
        <v>677.98082160000013</v>
      </c>
      <c r="I78" s="106" t="str">
        <f>IF(J78="Y",((245.79+2.13)*1.01)*24," ")</f>
        <v xml:space="preserve"> </v>
      </c>
      <c r="J78" s="106" t="s">
        <v>58</v>
      </c>
      <c r="K78" s="106">
        <f>+$E78*$I$5</f>
        <v>88.624944000000013</v>
      </c>
      <c r="L78" s="106">
        <f t="shared" si="59"/>
        <v>70</v>
      </c>
      <c r="M78" s="108">
        <f t="shared" ref="M78:M80" si="62">SUM(H78:L78,E78:F78)</f>
        <v>10431.142203040001</v>
      </c>
      <c r="N78" s="91" t="str">
        <f t="shared" si="21"/>
        <v>*</v>
      </c>
      <c r="P78" s="98">
        <v>298.77999999999997</v>
      </c>
      <c r="Q78" s="98">
        <v>290.7</v>
      </c>
      <c r="R78" s="98">
        <v>484.5</v>
      </c>
      <c r="S78" s="98">
        <v>323</v>
      </c>
      <c r="T78" s="98">
        <v>452.2</v>
      </c>
      <c r="U78" s="91">
        <v>323</v>
      </c>
    </row>
    <row r="79" spans="2:21" ht="12.75" customHeight="1" x14ac:dyDescent="0.2">
      <c r="B79" s="109" t="s">
        <v>14</v>
      </c>
      <c r="C79" s="91" t="s">
        <v>172</v>
      </c>
      <c r="D79" s="114">
        <f t="shared" si="58"/>
        <v>202.9</v>
      </c>
      <c r="E79" s="105">
        <f>+D79*24*PRInf</f>
        <v>4966.9920000000002</v>
      </c>
      <c r="F79" s="106">
        <f t="shared" si="57"/>
        <v>410.27353920000007</v>
      </c>
      <c r="G79" s="90" t="s">
        <v>146</v>
      </c>
      <c r="H79" s="106">
        <f>+$E79*$H$5</f>
        <v>379.97488800000002</v>
      </c>
      <c r="I79" s="106" t="str">
        <f>IF(J79="Y",((245.79+2.13)*1.01)*24," ")</f>
        <v xml:space="preserve"> </v>
      </c>
      <c r="J79" s="106" t="s">
        <v>58</v>
      </c>
      <c r="K79" s="106">
        <f>+$E79*$I$5</f>
        <v>49.669920000000005</v>
      </c>
      <c r="L79" s="106">
        <f>IF(E79&gt;7000,7000*$K$5,E79*$K$5)</f>
        <v>49.669920000000005</v>
      </c>
      <c r="M79" s="108">
        <f t="shared" ref="M79" si="63">SUM(H79:L79,E79:F79)</f>
        <v>5856.5802672000009</v>
      </c>
      <c r="N79" s="91" t="str">
        <f t="shared" ref="N79" si="64">IF(M79&gt;0.49,"*","")</f>
        <v>*</v>
      </c>
      <c r="P79" s="98">
        <v>165</v>
      </c>
      <c r="Q79" s="98">
        <v>198</v>
      </c>
      <c r="R79" s="98">
        <v>264</v>
      </c>
      <c r="S79" s="98">
        <v>132</v>
      </c>
      <c r="T79" s="98">
        <v>264</v>
      </c>
      <c r="U79" s="91">
        <v>194.4</v>
      </c>
    </row>
    <row r="80" spans="2:21" ht="12.75" hidden="1" customHeight="1" x14ac:dyDescent="0.2">
      <c r="B80" s="109" t="s">
        <v>14</v>
      </c>
      <c r="C80" s="91"/>
      <c r="D80" s="125"/>
      <c r="E80" s="105">
        <f>+D80*24*PRInf</f>
        <v>0</v>
      </c>
      <c r="F80" s="106">
        <f t="shared" si="57"/>
        <v>0</v>
      </c>
      <c r="G80" s="90" t="s">
        <v>146</v>
      </c>
      <c r="H80" s="106">
        <f>+$E80*$H$5</f>
        <v>0</v>
      </c>
      <c r="I80" s="106" t="str">
        <f>IF(J80="Y",((245.79+2.13)*1.01)*24," ")</f>
        <v xml:space="preserve"> </v>
      </c>
      <c r="J80" s="106" t="s">
        <v>58</v>
      </c>
      <c r="K80" s="106">
        <f>+$E80*$I$5</f>
        <v>0</v>
      </c>
      <c r="L80" s="106">
        <f>IF(E80&gt;7000,7000*$K$5,E80*$K$5)</f>
        <v>0</v>
      </c>
      <c r="M80" s="108">
        <f t="shared" si="62"/>
        <v>0</v>
      </c>
      <c r="N80" s="91" t="str">
        <f t="shared" si="21"/>
        <v/>
      </c>
    </row>
    <row r="81" spans="2:20" ht="12.75" customHeight="1" x14ac:dyDescent="0.25">
      <c r="B81" s="116" t="s">
        <v>7</v>
      </c>
      <c r="C81" s="117" t="s">
        <v>8</v>
      </c>
      <c r="D81" s="114">
        <f>SUM(D76:D80)</f>
        <v>798.05666666666673</v>
      </c>
      <c r="E81" s="118">
        <f>SUM(E76:E80)</f>
        <v>19536.427200000002</v>
      </c>
      <c r="F81" s="118">
        <f>SUM(F76:F80)</f>
        <v>1613.7088867200005</v>
      </c>
      <c r="H81" s="118">
        <f>SUM(H76:H80)</f>
        <v>1494.5366808000001</v>
      </c>
      <c r="I81" s="118">
        <f>SUM(I76:I80)</f>
        <v>0</v>
      </c>
      <c r="J81" s="119"/>
      <c r="K81" s="118">
        <f>SUM(K76:K80)</f>
        <v>195.36427200000003</v>
      </c>
      <c r="L81" s="118">
        <f>SUM(L76:L80)</f>
        <v>176.739328</v>
      </c>
      <c r="M81" s="118">
        <f>SUM(M76:M80)</f>
        <v>23016.776367520004</v>
      </c>
      <c r="N81" s="91" t="str">
        <f t="shared" ref="N81:N110" si="65">IF(M81&gt;0.49,"*","")</f>
        <v>*</v>
      </c>
    </row>
    <row r="82" spans="2:20" ht="12.75" hidden="1" customHeight="1" x14ac:dyDescent="0.2">
      <c r="B82" s="112"/>
      <c r="C82" s="103"/>
      <c r="D82" s="114"/>
      <c r="E82" s="122"/>
      <c r="F82" s="108"/>
      <c r="I82" s="106" t="str">
        <f>IF(J82="Y",((245.79+2.13)*1.01)*24," ")</f>
        <v xml:space="preserve"> </v>
      </c>
      <c r="N82" s="91" t="str">
        <f>IF(N75="*","*","")</f>
        <v/>
      </c>
    </row>
    <row r="83" spans="2:20" ht="12.75" hidden="1" customHeight="1" x14ac:dyDescent="0.2">
      <c r="B83" s="109" t="s">
        <v>79</v>
      </c>
      <c r="C83" s="91"/>
      <c r="D83" s="125"/>
      <c r="E83" s="105"/>
      <c r="F83" s="106">
        <f t="shared" ref="F83:F85" si="66">IF(G83="Y",E83*$F$5," ")</f>
        <v>0</v>
      </c>
      <c r="G83" s="90" t="s">
        <v>146</v>
      </c>
      <c r="H83" s="106">
        <f>+$E83*$H$5</f>
        <v>0</v>
      </c>
      <c r="I83" s="106" t="str">
        <f>IF(J83="Y",((245.79+2.13)*1.01)*24," ")</f>
        <v xml:space="preserve"> </v>
      </c>
      <c r="J83" s="106" t="s">
        <v>58</v>
      </c>
      <c r="K83" s="106">
        <f>+$E83*$I$9</f>
        <v>0</v>
      </c>
      <c r="L83" s="106">
        <f>IF(E83&gt;7000,7000*$K$5,E83*$K$5)</f>
        <v>0</v>
      </c>
      <c r="M83" s="108">
        <f>SUM(H83:L83,E83:F83)</f>
        <v>0</v>
      </c>
      <c r="N83" s="91" t="str">
        <f t="shared" si="65"/>
        <v/>
      </c>
      <c r="T83" s="135"/>
    </row>
    <row r="84" spans="2:20" ht="12.75" hidden="1" customHeight="1" x14ac:dyDescent="0.2">
      <c r="B84" s="109" t="s">
        <v>79</v>
      </c>
      <c r="C84" s="91"/>
      <c r="D84" s="125"/>
      <c r="E84" s="105"/>
      <c r="F84" s="106">
        <f t="shared" si="66"/>
        <v>0</v>
      </c>
      <c r="G84" s="90" t="s">
        <v>146</v>
      </c>
      <c r="H84" s="106">
        <f>+$E84*$H$5</f>
        <v>0</v>
      </c>
      <c r="I84" s="106" t="str">
        <f>IF(J84="Y",((245.79+2.13)*1.01)*24," ")</f>
        <v xml:space="preserve"> </v>
      </c>
      <c r="J84" s="106" t="s">
        <v>58</v>
      </c>
      <c r="K84" s="106">
        <f>+$E84*$I$9</f>
        <v>0</v>
      </c>
      <c r="L84" s="106">
        <f>IF(E84&gt;7000,7000*$K$5,E84*$K$5)</f>
        <v>0</v>
      </c>
      <c r="M84" s="108">
        <f>SUM(H84:L84,E84:F84)</f>
        <v>0</v>
      </c>
      <c r="N84" s="91" t="str">
        <f t="shared" ref="N84" si="67">IF(M84&gt;0.49,"*","")</f>
        <v/>
      </c>
      <c r="T84" s="135"/>
    </row>
    <row r="85" spans="2:20" ht="12.75" hidden="1" customHeight="1" x14ac:dyDescent="0.2">
      <c r="B85" s="109" t="s">
        <v>79</v>
      </c>
      <c r="C85" s="91"/>
      <c r="D85" s="125"/>
      <c r="E85" s="105"/>
      <c r="F85" s="106">
        <f t="shared" si="66"/>
        <v>0</v>
      </c>
      <c r="G85" s="90" t="s">
        <v>146</v>
      </c>
      <c r="H85" s="106">
        <f>+$E85*$H$5</f>
        <v>0</v>
      </c>
      <c r="I85" s="106" t="str">
        <f>IF(J85="Y",((245.79+2.13)*1.01)*24," ")</f>
        <v xml:space="preserve"> </v>
      </c>
      <c r="J85" s="106" t="s">
        <v>58</v>
      </c>
      <c r="K85" s="106">
        <f>+$E85*$I$9</f>
        <v>0</v>
      </c>
      <c r="L85" s="106">
        <f>IF(E85&gt;7000,7000*$K$5,E85*$K$5)</f>
        <v>0</v>
      </c>
      <c r="M85" s="108">
        <f>SUM(H85:L85,E85:F85)</f>
        <v>0</v>
      </c>
      <c r="N85" s="91" t="str">
        <f t="shared" si="65"/>
        <v/>
      </c>
      <c r="T85" s="135"/>
    </row>
    <row r="86" spans="2:20" ht="12.75" hidden="1" customHeight="1" x14ac:dyDescent="0.25">
      <c r="B86" s="116" t="s">
        <v>80</v>
      </c>
      <c r="C86" s="117" t="s">
        <v>81</v>
      </c>
      <c r="D86" s="114">
        <f>SUM(D83:D85)</f>
        <v>0</v>
      </c>
      <c r="E86" s="118">
        <f t="shared" ref="E86:M86" si="68">SUM(E82:E85)</f>
        <v>0</v>
      </c>
      <c r="F86" s="118">
        <f t="shared" si="68"/>
        <v>0</v>
      </c>
      <c r="G86" s="118">
        <f t="shared" si="68"/>
        <v>0</v>
      </c>
      <c r="H86" s="118">
        <f t="shared" si="68"/>
        <v>0</v>
      </c>
      <c r="I86" s="118">
        <f t="shared" si="68"/>
        <v>0</v>
      </c>
      <c r="J86" s="118">
        <f t="shared" si="68"/>
        <v>0</v>
      </c>
      <c r="K86" s="118">
        <f t="shared" si="68"/>
        <v>0</v>
      </c>
      <c r="L86" s="118">
        <f t="shared" si="68"/>
        <v>0</v>
      </c>
      <c r="M86" s="118">
        <f t="shared" si="68"/>
        <v>0</v>
      </c>
      <c r="N86" s="91" t="str">
        <f t="shared" si="65"/>
        <v/>
      </c>
    </row>
    <row r="87" spans="2:20" ht="12.75" hidden="1" customHeight="1" x14ac:dyDescent="0.2">
      <c r="B87" s="112"/>
      <c r="C87" s="103"/>
      <c r="D87" s="114"/>
      <c r="E87" s="122"/>
      <c r="F87" s="108"/>
      <c r="I87" s="106" t="str">
        <f t="shared" ref="I87:I92" si="69">IF(J87="Y",((245.79+2.13)*1.01)*24," ")</f>
        <v xml:space="preserve"> </v>
      </c>
      <c r="N87" s="91" t="str">
        <f t="shared" si="65"/>
        <v/>
      </c>
    </row>
    <row r="88" spans="2:20" ht="12.75" hidden="1" customHeight="1" x14ac:dyDescent="0.2">
      <c r="B88" s="109" t="s">
        <v>17</v>
      </c>
      <c r="C88" s="91"/>
      <c r="D88" s="125"/>
      <c r="E88" s="105"/>
      <c r="F88" s="106">
        <f t="shared" ref="F88:F92" si="70">IF(G88="Y",E88*$F$5," ")</f>
        <v>0</v>
      </c>
      <c r="G88" s="90" t="s">
        <v>146</v>
      </c>
      <c r="H88" s="106">
        <f>+$E88*$H$5</f>
        <v>0</v>
      </c>
      <c r="I88" s="106" t="str">
        <f t="shared" si="69"/>
        <v xml:space="preserve"> </v>
      </c>
      <c r="J88" s="106" t="s">
        <v>58</v>
      </c>
      <c r="K88" s="106">
        <f>+$E88*$I$7</f>
        <v>0</v>
      </c>
      <c r="L88" s="106">
        <f>IF(E88&gt;7000,7000*$K$5,E88*$K$5)</f>
        <v>0</v>
      </c>
      <c r="M88" s="108">
        <f>SUM(H88:L88,E88:F88)</f>
        <v>0</v>
      </c>
      <c r="N88" s="91" t="str">
        <f t="shared" si="65"/>
        <v/>
      </c>
    </row>
    <row r="89" spans="2:20" ht="12.75" hidden="1" customHeight="1" x14ac:dyDescent="0.2">
      <c r="B89" s="109" t="s">
        <v>17</v>
      </c>
      <c r="C89" s="91"/>
      <c r="D89" s="114"/>
      <c r="E89" s="105">
        <f>+D89*24*PRInf</f>
        <v>0</v>
      </c>
      <c r="F89" s="106">
        <f t="shared" si="70"/>
        <v>0</v>
      </c>
      <c r="G89" s="90" t="s">
        <v>146</v>
      </c>
      <c r="H89" s="106">
        <f t="shared" ref="H89:H91" si="71">+$E89*$H$5</f>
        <v>0</v>
      </c>
      <c r="I89" s="106" t="str">
        <f t="shared" si="69"/>
        <v xml:space="preserve"> </v>
      </c>
      <c r="J89" s="106" t="s">
        <v>58</v>
      </c>
      <c r="K89" s="106">
        <f t="shared" ref="K89:K91" si="72">+$E89*$I$7</f>
        <v>0</v>
      </c>
      <c r="L89" s="106">
        <f t="shared" ref="L89:L91" si="73">IF(E89&gt;7000,7000*$K$5,E89*$K$5)</f>
        <v>0</v>
      </c>
      <c r="M89" s="108">
        <f t="shared" ref="M89:M91" si="74">SUM(H89:L89,E89:F89)</f>
        <v>0</v>
      </c>
      <c r="N89" s="91" t="str">
        <f t="shared" si="65"/>
        <v/>
      </c>
    </row>
    <row r="90" spans="2:20" ht="12.75" hidden="1" customHeight="1" x14ac:dyDescent="0.2">
      <c r="B90" s="109" t="s">
        <v>17</v>
      </c>
      <c r="C90" s="91"/>
      <c r="D90" s="114"/>
      <c r="E90" s="105">
        <f>+D90*24*PRInf</f>
        <v>0</v>
      </c>
      <c r="F90" s="106">
        <f t="shared" si="70"/>
        <v>0</v>
      </c>
      <c r="G90" s="90" t="s">
        <v>146</v>
      </c>
      <c r="H90" s="106">
        <f t="shared" si="71"/>
        <v>0</v>
      </c>
      <c r="I90" s="106" t="str">
        <f t="shared" si="69"/>
        <v xml:space="preserve"> </v>
      </c>
      <c r="J90" s="106" t="s">
        <v>58</v>
      </c>
      <c r="K90" s="106">
        <f t="shared" si="72"/>
        <v>0</v>
      </c>
      <c r="L90" s="106">
        <f t="shared" si="73"/>
        <v>0</v>
      </c>
      <c r="M90" s="108">
        <f t="shared" si="74"/>
        <v>0</v>
      </c>
      <c r="N90" s="91" t="str">
        <f t="shared" si="65"/>
        <v/>
      </c>
    </row>
    <row r="91" spans="2:20" ht="12.75" hidden="1" customHeight="1" x14ac:dyDescent="0.2">
      <c r="B91" s="109" t="s">
        <v>17</v>
      </c>
      <c r="C91" s="91"/>
      <c r="D91" s="114"/>
      <c r="E91" s="105">
        <f>+D91*24*PRInf</f>
        <v>0</v>
      </c>
      <c r="F91" s="106">
        <f t="shared" si="70"/>
        <v>0</v>
      </c>
      <c r="G91" s="90" t="s">
        <v>146</v>
      </c>
      <c r="H91" s="106">
        <f t="shared" si="71"/>
        <v>0</v>
      </c>
      <c r="I91" s="106" t="str">
        <f t="shared" si="69"/>
        <v xml:space="preserve"> </v>
      </c>
      <c r="J91" s="106" t="s">
        <v>58</v>
      </c>
      <c r="K91" s="106">
        <f t="shared" si="72"/>
        <v>0</v>
      </c>
      <c r="L91" s="106">
        <f t="shared" si="73"/>
        <v>0</v>
      </c>
      <c r="M91" s="108">
        <f t="shared" si="74"/>
        <v>0</v>
      </c>
      <c r="N91" s="91" t="str">
        <f t="shared" si="65"/>
        <v/>
      </c>
    </row>
    <row r="92" spans="2:20" ht="12.75" hidden="1" customHeight="1" x14ac:dyDescent="0.2">
      <c r="B92" s="109" t="s">
        <v>17</v>
      </c>
      <c r="C92" s="91"/>
      <c r="D92" s="114"/>
      <c r="E92" s="105">
        <f>+D92*24*PRInf</f>
        <v>0</v>
      </c>
      <c r="F92" s="106">
        <f t="shared" si="70"/>
        <v>0</v>
      </c>
      <c r="G92" s="90" t="s">
        <v>146</v>
      </c>
      <c r="H92" s="106"/>
      <c r="I92" s="106" t="str">
        <f t="shared" si="69"/>
        <v xml:space="preserve"> </v>
      </c>
      <c r="J92" s="106" t="s">
        <v>58</v>
      </c>
      <c r="K92" s="106"/>
      <c r="L92" s="106"/>
      <c r="M92" s="108"/>
      <c r="N92" s="91" t="str">
        <f t="shared" si="65"/>
        <v/>
      </c>
    </row>
    <row r="93" spans="2:20" ht="12.75" hidden="1" customHeight="1" x14ac:dyDescent="0.25">
      <c r="B93" s="116" t="s">
        <v>9</v>
      </c>
      <c r="C93" s="117" t="s">
        <v>10</v>
      </c>
      <c r="D93" s="114">
        <f>SUM(D88:D92)</f>
        <v>0</v>
      </c>
      <c r="E93" s="118">
        <f>SUM(E88:E92)</f>
        <v>0</v>
      </c>
      <c r="F93" s="118">
        <f>SUM(F88:F92)</f>
        <v>0</v>
      </c>
      <c r="H93" s="118">
        <f>SUM(H88:H92)</f>
        <v>0</v>
      </c>
      <c r="I93" s="118">
        <f>SUM(I88:I92)</f>
        <v>0</v>
      </c>
      <c r="J93" s="118"/>
      <c r="K93" s="118">
        <f>SUM(K88:K92)</f>
        <v>0</v>
      </c>
      <c r="L93" s="118">
        <f>SUM(L88:L92)</f>
        <v>0</v>
      </c>
      <c r="M93" s="118">
        <f>SUM(M88:M92)</f>
        <v>0</v>
      </c>
      <c r="N93" s="91" t="str">
        <f t="shared" si="65"/>
        <v/>
      </c>
    </row>
    <row r="94" spans="2:20" ht="12.75" hidden="1" customHeight="1" x14ac:dyDescent="0.2">
      <c r="B94" s="128"/>
      <c r="C94" s="103"/>
      <c r="D94" s="114"/>
      <c r="E94" s="122"/>
      <c r="F94" s="108"/>
      <c r="I94" s="106" t="str">
        <f>IF(J94="Y",((245.79+2.13)*1.01)*24," ")</f>
        <v xml:space="preserve"> </v>
      </c>
      <c r="N94" s="91" t="str">
        <f>IF(N93="*","*","")</f>
        <v/>
      </c>
    </row>
    <row r="95" spans="2:20" ht="12.75" hidden="1" customHeight="1" x14ac:dyDescent="0.2">
      <c r="B95" s="109" t="s">
        <v>20</v>
      </c>
      <c r="C95" s="91"/>
      <c r="D95" s="114"/>
      <c r="E95" s="105">
        <f>+D95*24*PRInf</f>
        <v>0</v>
      </c>
      <c r="F95" s="106">
        <f t="shared" ref="F95:F96" si="75">IF(G95="Y",E95*$F$5," ")</f>
        <v>0</v>
      </c>
      <c r="G95" s="90" t="s">
        <v>146</v>
      </c>
      <c r="H95" s="106"/>
      <c r="I95" s="106" t="str">
        <f>IF(J95="Y",((245.79+2.13)*1.01)*24," ")</f>
        <v xml:space="preserve"> </v>
      </c>
      <c r="J95" s="106" t="s">
        <v>58</v>
      </c>
      <c r="K95" s="106"/>
      <c r="L95" s="106"/>
      <c r="M95" s="108"/>
      <c r="N95" s="91" t="str">
        <f t="shared" si="65"/>
        <v/>
      </c>
    </row>
    <row r="96" spans="2:20" ht="12.75" hidden="1" customHeight="1" x14ac:dyDescent="0.2">
      <c r="B96" s="109" t="s">
        <v>20</v>
      </c>
      <c r="C96" s="91"/>
      <c r="D96" s="114"/>
      <c r="E96" s="105">
        <f>+D96*24*PRInf</f>
        <v>0</v>
      </c>
      <c r="F96" s="106">
        <f t="shared" si="75"/>
        <v>0</v>
      </c>
      <c r="G96" s="90" t="s">
        <v>146</v>
      </c>
      <c r="H96" s="106"/>
      <c r="I96" s="106" t="str">
        <f>IF(J96="Y",((245.79+2.13)*1.01)*24," ")</f>
        <v xml:space="preserve"> </v>
      </c>
      <c r="J96" s="106" t="s">
        <v>58</v>
      </c>
      <c r="K96" s="106"/>
      <c r="L96" s="106"/>
      <c r="M96" s="108"/>
      <c r="N96" s="91" t="str">
        <f t="shared" si="65"/>
        <v/>
      </c>
    </row>
    <row r="97" spans="2:20" ht="12.75" hidden="1" customHeight="1" x14ac:dyDescent="0.25">
      <c r="B97" s="129">
        <v>10040007900165</v>
      </c>
      <c r="C97" s="117" t="s">
        <v>13</v>
      </c>
      <c r="D97" s="114"/>
      <c r="E97" s="118">
        <f>SUM(E95:E96)</f>
        <v>0</v>
      </c>
      <c r="F97" s="118">
        <f>SUM(F95:F96)</f>
        <v>0</v>
      </c>
      <c r="H97" s="118">
        <f>SUM(H95:H96)</f>
        <v>0</v>
      </c>
      <c r="I97" s="118">
        <f>SUM(I95:I96)</f>
        <v>0</v>
      </c>
      <c r="J97" s="118"/>
      <c r="K97" s="118">
        <f>SUM(K95:K96)</f>
        <v>0</v>
      </c>
      <c r="L97" s="118">
        <f>SUM(L95:L96)</f>
        <v>0</v>
      </c>
      <c r="M97" s="118">
        <f>SUM(M95:M96)</f>
        <v>0</v>
      </c>
      <c r="N97" s="91" t="str">
        <f t="shared" si="65"/>
        <v/>
      </c>
    </row>
    <row r="98" spans="2:20" ht="12.75" hidden="1" customHeight="1" x14ac:dyDescent="0.2">
      <c r="B98" s="128"/>
      <c r="C98" s="103"/>
      <c r="D98" s="105"/>
      <c r="E98" s="122"/>
      <c r="F98" s="108"/>
      <c r="I98" s="106" t="str">
        <f>IF(J98="Y",((245.79+2.13)*1.01)*24," ")</f>
        <v xml:space="preserve"> </v>
      </c>
      <c r="N98" s="91" t="str">
        <f>IF(N97="*","*","")</f>
        <v/>
      </c>
    </row>
    <row r="99" spans="2:20" ht="12.75" hidden="1" customHeight="1" x14ac:dyDescent="0.2">
      <c r="B99" s="109" t="s">
        <v>19</v>
      </c>
      <c r="C99" s="91"/>
      <c r="D99" s="125"/>
      <c r="E99" s="105"/>
      <c r="F99" s="106">
        <f t="shared" ref="F99:F102" si="76">IF(G99="Y",E99*$F$5," ")</f>
        <v>0</v>
      </c>
      <c r="G99" s="90" t="s">
        <v>146</v>
      </c>
      <c r="H99" s="106">
        <f>+$E99*$H$5</f>
        <v>0</v>
      </c>
      <c r="I99" s="106" t="str">
        <f>IF(J99="Y",((245.79+2.13)*1.01)*24," ")</f>
        <v xml:space="preserve"> </v>
      </c>
      <c r="J99" s="106" t="s">
        <v>58</v>
      </c>
      <c r="K99" s="106">
        <f>+$E99*$I$9</f>
        <v>0</v>
      </c>
      <c r="L99" s="106">
        <f>IF(E99&gt;7000,7000*$K$5,E99*$K$5)</f>
        <v>0</v>
      </c>
      <c r="M99" s="108">
        <f>SUM(H99:L99,E99:F99)</f>
        <v>0</v>
      </c>
      <c r="N99" s="91" t="str">
        <f t="shared" si="65"/>
        <v/>
      </c>
      <c r="T99" s="135"/>
    </row>
    <row r="100" spans="2:20" ht="12.75" hidden="1" customHeight="1" x14ac:dyDescent="0.2">
      <c r="B100" s="109" t="s">
        <v>19</v>
      </c>
      <c r="C100" s="91"/>
      <c r="D100" s="125"/>
      <c r="E100" s="105"/>
      <c r="F100" s="106">
        <f t="shared" si="76"/>
        <v>0</v>
      </c>
      <c r="G100" s="90" t="s">
        <v>146</v>
      </c>
      <c r="H100" s="106">
        <f>+$E100*$H$5</f>
        <v>0</v>
      </c>
      <c r="I100" s="106" t="str">
        <f>IF(J100="Y",((245.79+2.13)*1.01)*24," ")</f>
        <v xml:space="preserve"> </v>
      </c>
      <c r="J100" s="106" t="s">
        <v>58</v>
      </c>
      <c r="K100" s="106">
        <f>+$E100*$I$9</f>
        <v>0</v>
      </c>
      <c r="L100" s="106">
        <f>IF(E100&gt;7000,7000*$K$5,E100*$K$5)</f>
        <v>0</v>
      </c>
      <c r="M100" s="108">
        <f>SUM(H100:L100,E100:F100)</f>
        <v>0</v>
      </c>
      <c r="N100" s="91" t="str">
        <f t="shared" ref="N100:N101" si="77">IF(M100&gt;0.49,"*","")</f>
        <v/>
      </c>
      <c r="T100" s="135"/>
    </row>
    <row r="101" spans="2:20" ht="12.75" hidden="1" customHeight="1" x14ac:dyDescent="0.2">
      <c r="B101" s="109" t="s">
        <v>19</v>
      </c>
      <c r="C101" s="91"/>
      <c r="D101" s="125"/>
      <c r="E101" s="105"/>
      <c r="F101" s="106">
        <f t="shared" si="76"/>
        <v>0</v>
      </c>
      <c r="G101" s="90" t="s">
        <v>146</v>
      </c>
      <c r="H101" s="106">
        <f>+$E101*$H$5</f>
        <v>0</v>
      </c>
      <c r="I101" s="106" t="str">
        <f>IF(J101="Y",((245.79+2.13)*1.01)*24," ")</f>
        <v xml:space="preserve"> </v>
      </c>
      <c r="J101" s="106" t="s">
        <v>58</v>
      </c>
      <c r="K101" s="106">
        <f>+$E101*$I$9</f>
        <v>0</v>
      </c>
      <c r="L101" s="106">
        <f>IF(E101&gt;7000,7000*$K$5,E101*$K$5)</f>
        <v>0</v>
      </c>
      <c r="M101" s="108">
        <f>SUM(H101:L101,E101:F101)</f>
        <v>0</v>
      </c>
      <c r="N101" s="91" t="str">
        <f t="shared" si="77"/>
        <v/>
      </c>
      <c r="T101" s="135"/>
    </row>
    <row r="102" spans="2:20" ht="12.75" hidden="1" customHeight="1" x14ac:dyDescent="0.2">
      <c r="B102" s="109" t="s">
        <v>19</v>
      </c>
      <c r="C102" s="91"/>
      <c r="D102" s="125"/>
      <c r="E102" s="105"/>
      <c r="F102" s="106">
        <f t="shared" si="76"/>
        <v>0</v>
      </c>
      <c r="G102" s="90" t="s">
        <v>146</v>
      </c>
      <c r="H102" s="106">
        <f>+$E102*$H$5</f>
        <v>0</v>
      </c>
      <c r="I102" s="106" t="str">
        <f>IF(J102="Y",((245.79+2.13)*1.01)*24," ")</f>
        <v xml:space="preserve"> </v>
      </c>
      <c r="J102" s="106" t="s">
        <v>58</v>
      </c>
      <c r="K102" s="106">
        <f>+$E102*$I$9</f>
        <v>0</v>
      </c>
      <c r="L102" s="106">
        <f>IF(E102&gt;7000,7000*$K$5,E102*$K$5)</f>
        <v>0</v>
      </c>
      <c r="M102" s="108">
        <f>SUM(H102:L102,E102:F102)</f>
        <v>0</v>
      </c>
      <c r="N102" s="91" t="str">
        <f t="shared" si="65"/>
        <v/>
      </c>
      <c r="T102" s="135"/>
    </row>
    <row r="103" spans="2:20" ht="12.75" hidden="1" customHeight="1" x14ac:dyDescent="0.25">
      <c r="B103" s="116" t="s">
        <v>11</v>
      </c>
      <c r="C103" s="117" t="s">
        <v>12</v>
      </c>
      <c r="D103" s="114">
        <f>SUM(D99:D102)</f>
        <v>0</v>
      </c>
      <c r="E103" s="118">
        <f>SUM(E99:E102)</f>
        <v>0</v>
      </c>
      <c r="F103" s="119">
        <f>SUM(F99:F102)</f>
        <v>0</v>
      </c>
      <c r="H103" s="118">
        <f>SUM(H99:H102)</f>
        <v>0</v>
      </c>
      <c r="I103" s="118">
        <f>SUM(I99:I102)</f>
        <v>0</v>
      </c>
      <c r="J103" s="119"/>
      <c r="K103" s="118">
        <f>SUM(K99:K102)</f>
        <v>0</v>
      </c>
      <c r="L103" s="118">
        <f>SUM(L99:L102)</f>
        <v>0</v>
      </c>
      <c r="M103" s="118">
        <f>SUM(M99:M102)</f>
        <v>0</v>
      </c>
      <c r="N103" s="91" t="str">
        <f t="shared" si="65"/>
        <v/>
      </c>
    </row>
    <row r="104" spans="2:20" ht="12.75" hidden="1" customHeight="1" x14ac:dyDescent="0.2">
      <c r="B104" s="112"/>
      <c r="C104" s="103"/>
      <c r="D104" s="114"/>
      <c r="E104" s="122"/>
      <c r="F104" s="108"/>
      <c r="N104" s="91" t="str">
        <f>IF(N103="*","*","")</f>
        <v/>
      </c>
    </row>
    <row r="105" spans="2:20" ht="12.75" hidden="1" customHeight="1" x14ac:dyDescent="0.2">
      <c r="B105" s="109" t="s">
        <v>15</v>
      </c>
      <c r="C105" s="91"/>
      <c r="D105" s="114"/>
      <c r="E105" s="105"/>
      <c r="F105" s="106">
        <f t="shared" ref="F105:F108" si="78">IF(G105="Y",E105*$F$5," ")</f>
        <v>0</v>
      </c>
      <c r="G105" s="90" t="s">
        <v>146</v>
      </c>
      <c r="H105" s="106">
        <f t="shared" ref="H105:H108" si="79">+$E105*$H$5</f>
        <v>0</v>
      </c>
      <c r="I105" s="106"/>
      <c r="J105" s="106" t="s">
        <v>58</v>
      </c>
      <c r="K105" s="106">
        <f t="shared" ref="K105:K108" si="80">+$E105*$I$9</f>
        <v>0</v>
      </c>
      <c r="L105" s="106">
        <f>IF(E105&gt;7000,7000*$K$5,E105*$K$5)</f>
        <v>0</v>
      </c>
      <c r="M105" s="108">
        <f>SUM(H105:L105,E105:F105)</f>
        <v>0</v>
      </c>
      <c r="N105" s="91" t="str">
        <f t="shared" ref="N105:N106" si="81">IF(M105&gt;0.49,"*","")</f>
        <v/>
      </c>
    </row>
    <row r="106" spans="2:20" ht="12.75" hidden="1" customHeight="1" x14ac:dyDescent="0.2">
      <c r="B106" s="109" t="s">
        <v>15</v>
      </c>
      <c r="C106" s="91"/>
      <c r="D106" s="114"/>
      <c r="E106" s="105"/>
      <c r="F106" s="106">
        <f t="shared" si="78"/>
        <v>0</v>
      </c>
      <c r="G106" s="90" t="s">
        <v>146</v>
      </c>
      <c r="H106" s="106">
        <f t="shared" si="79"/>
        <v>0</v>
      </c>
      <c r="I106" s="106"/>
      <c r="J106" s="106" t="s">
        <v>58</v>
      </c>
      <c r="K106" s="106">
        <f t="shared" si="80"/>
        <v>0</v>
      </c>
      <c r="L106" s="106">
        <f>IF(E106&gt;7000,7000*$K$5,E106*$K$5)</f>
        <v>0</v>
      </c>
      <c r="M106" s="108">
        <f>SUM(H106:L106,E106:F106)</f>
        <v>0</v>
      </c>
      <c r="N106" s="91" t="str">
        <f t="shared" si="81"/>
        <v/>
      </c>
    </row>
    <row r="107" spans="2:20" ht="12.75" hidden="1" customHeight="1" x14ac:dyDescent="0.2">
      <c r="B107" s="109" t="s">
        <v>15</v>
      </c>
      <c r="C107" s="124"/>
      <c r="D107" s="114"/>
      <c r="E107" s="105">
        <f>+D107*24*PRInf</f>
        <v>0</v>
      </c>
      <c r="F107" s="106">
        <f t="shared" si="78"/>
        <v>0</v>
      </c>
      <c r="G107" s="90" t="s">
        <v>146</v>
      </c>
      <c r="H107" s="106">
        <f t="shared" si="79"/>
        <v>0</v>
      </c>
      <c r="I107" s="106"/>
      <c r="J107" s="106" t="s">
        <v>58</v>
      </c>
      <c r="K107" s="106">
        <f t="shared" si="80"/>
        <v>0</v>
      </c>
      <c r="L107" s="106">
        <f>IF(E107&gt;7000,7000*$K$5,E107*$K$5)</f>
        <v>0</v>
      </c>
      <c r="M107" s="108">
        <f>SUM(H107:L107,E107:F107)</f>
        <v>0</v>
      </c>
      <c r="N107" s="91" t="str">
        <f t="shared" ref="N107" si="82">IF(M107&gt;0.49,"*","")</f>
        <v/>
      </c>
    </row>
    <row r="108" spans="2:20" ht="12.75" hidden="1" customHeight="1" x14ac:dyDescent="0.2">
      <c r="B108" s="109" t="s">
        <v>15</v>
      </c>
      <c r="C108" s="124"/>
      <c r="D108" s="114"/>
      <c r="E108" s="105">
        <f>+D108*24*PRInf</f>
        <v>0</v>
      </c>
      <c r="F108" s="106">
        <f t="shared" si="78"/>
        <v>0</v>
      </c>
      <c r="G108" s="90" t="s">
        <v>146</v>
      </c>
      <c r="H108" s="106">
        <f t="shared" si="79"/>
        <v>0</v>
      </c>
      <c r="I108" s="106"/>
      <c r="J108" s="106" t="s">
        <v>58</v>
      </c>
      <c r="K108" s="106">
        <f t="shared" si="80"/>
        <v>0</v>
      </c>
      <c r="L108" s="106">
        <f>IF(E108&gt;7000,7000*$K$5,E108*$K$5)</f>
        <v>0</v>
      </c>
      <c r="M108" s="108">
        <f>SUM(H108:L108,E108:F108)</f>
        <v>0</v>
      </c>
      <c r="N108" s="91" t="str">
        <f t="shared" si="65"/>
        <v/>
      </c>
    </row>
    <row r="109" spans="2:20" ht="12.75" hidden="1" customHeight="1" x14ac:dyDescent="0.25">
      <c r="B109" s="130">
        <v>89140009100150</v>
      </c>
      <c r="C109" s="117" t="s">
        <v>64</v>
      </c>
      <c r="D109" s="114">
        <f>SUM(D105:D108)</f>
        <v>0</v>
      </c>
      <c r="E109" s="114">
        <f t="shared" ref="E109:F109" si="83">SUM(E105:E108)</f>
        <v>0</v>
      </c>
      <c r="F109" s="114">
        <f t="shared" si="83"/>
        <v>0</v>
      </c>
      <c r="H109" s="114">
        <f t="shared" ref="H109:I109" si="84">SUM(H105:H108)</f>
        <v>0</v>
      </c>
      <c r="I109" s="114">
        <f t="shared" si="84"/>
        <v>0</v>
      </c>
      <c r="J109" s="131"/>
      <c r="K109" s="114">
        <f t="shared" ref="K109:M109" si="85">SUM(K105:K108)</f>
        <v>0</v>
      </c>
      <c r="L109" s="114">
        <f t="shared" si="85"/>
        <v>0</v>
      </c>
      <c r="M109" s="114">
        <f t="shared" si="85"/>
        <v>0</v>
      </c>
      <c r="N109" s="91" t="str">
        <f t="shared" si="65"/>
        <v/>
      </c>
    </row>
    <row r="110" spans="2:20" ht="12.75" customHeight="1" x14ac:dyDescent="0.25">
      <c r="B110" s="112"/>
      <c r="C110" s="103"/>
      <c r="D110" s="132">
        <f>SUM(D109:D109,D103:D103,D97:D97,D93,D86,D81:D81,D74,D65:D65,D20:D20,D57:D57,D40,D34)+D69</f>
        <v>15798.470000000001</v>
      </c>
      <c r="E110" s="132">
        <f>SUM(E109:E109,E103:E103,E97:E97,E93,E86,E81:E81,E74,E65:E65,E20:E20,E57:E57,E40,E34)+E69</f>
        <v>384632.9424</v>
      </c>
      <c r="F110" s="132">
        <f>SUM(F109:F109,F103:F103,F97:F97,F93,F86,F81:F81,F74,F65:F65,F20:F20,F57:F57,F40,F34)+F69</f>
        <v>31770.681042240001</v>
      </c>
      <c r="G110" s="132"/>
      <c r="H110" s="132">
        <f>SUM(H109:H109,H103:H103,H97:H97,H93,H86,H81:H81,H74,H65:H65,H20:H20,H57:H57,H40,H34)+H69</f>
        <v>29424.420093600002</v>
      </c>
      <c r="I110" s="132">
        <f>SUM(I109:I109,I103:I103,I97:I97,I93,I86,I81:I81,I74,I65:I65,I20:I20,I57:I57,I40,I34)+I69</f>
        <v>60095.80799999999</v>
      </c>
      <c r="J110" s="132"/>
      <c r="K110" s="132">
        <f>SUM(K109:K109,K103:K103,K97:K97,K93,K86,K81:K81,K74,K65:K65,K20:K20,K57:K57,K40,K34)+K69</f>
        <v>3846.329424</v>
      </c>
      <c r="L110" s="132">
        <f>SUM(L109:L109,L103:L103,L97:L97,L93,L86,L81:L81,L74,L65:L65,L20:L20,L57:L57,L40,L34)+L69</f>
        <v>1159.1394879999998</v>
      </c>
      <c r="M110" s="132">
        <f>SUM(M34,M40,M57,M20,M65,M69,M74,M81,M86,M93,M103,M109)</f>
        <v>510929.32044784003</v>
      </c>
      <c r="N110" s="91" t="str">
        <f t="shared" si="65"/>
        <v>*</v>
      </c>
      <c r="P110" s="98">
        <f>SUM(P22:P109)</f>
        <v>9264.0200000000023</v>
      </c>
      <c r="Q110" s="98">
        <f>SUM(Q22:Q109)</f>
        <v>9327.92</v>
      </c>
      <c r="R110" s="98">
        <f>SUM(R22:R109)</f>
        <v>13783.329999999998</v>
      </c>
    </row>
    <row r="111" spans="2:20" ht="12.75" hidden="1" customHeight="1" x14ac:dyDescent="0.2">
      <c r="D111" s="114"/>
      <c r="F111" s="96">
        <f>+F110/$E$110</f>
        <v>8.2600000000000007E-2</v>
      </c>
      <c r="G111" s="96"/>
      <c r="H111" s="96">
        <f t="shared" ref="H111:I111" si="86">+H110/$E$110</f>
        <v>7.6499999999999999E-2</v>
      </c>
      <c r="I111" s="96">
        <f t="shared" si="86"/>
        <v>0.15624196831664824</v>
      </c>
      <c r="J111" s="96"/>
      <c r="K111" s="96">
        <f>+K110/$E$110</f>
        <v>0.01</v>
      </c>
      <c r="L111" s="96">
        <f>+L110/$E$110</f>
        <v>3.0136250960910928E-3</v>
      </c>
      <c r="M111" s="96">
        <f>+M110/$E$110</f>
        <v>1.3283555934127393</v>
      </c>
    </row>
    <row r="112" spans="2:20" ht="12.75" customHeight="1" x14ac:dyDescent="0.2">
      <c r="D112" s="114"/>
    </row>
    <row r="113" spans="4:10" ht="12.75" customHeight="1" x14ac:dyDescent="0.2">
      <c r="D113" s="106"/>
      <c r="F113" s="96"/>
      <c r="J113" s="91" t="s">
        <v>72</v>
      </c>
    </row>
    <row r="114" spans="4:10" ht="12.75" customHeight="1" x14ac:dyDescent="0.2">
      <c r="D114" s="106">
        <v>351435.72</v>
      </c>
      <c r="F114" s="96"/>
    </row>
    <row r="115" spans="4:10" ht="12.75" hidden="1" customHeight="1" x14ac:dyDescent="0.2">
      <c r="D115" s="106">
        <v>24663.900000000005</v>
      </c>
      <c r="E115" s="96">
        <v>7.0180401696219169E-2</v>
      </c>
      <c r="F115" s="91">
        <v>210</v>
      </c>
    </row>
    <row r="116" spans="4:10" ht="12.75" hidden="1" customHeight="1" x14ac:dyDescent="0.2">
      <c r="D116" s="106">
        <v>25623.040000000001</v>
      </c>
      <c r="E116" s="96">
        <v>7.2909606342804315E-2</v>
      </c>
      <c r="F116" s="91">
        <v>220</v>
      </c>
    </row>
    <row r="117" spans="4:10" ht="12.75" hidden="1" customHeight="1" x14ac:dyDescent="0.2">
      <c r="D117" s="106">
        <v>56681.490000000005</v>
      </c>
      <c r="E117" s="96">
        <v>0.16128551189958723</v>
      </c>
      <c r="F117" s="91">
        <v>230</v>
      </c>
    </row>
    <row r="118" spans="4:10" ht="12.75" hidden="1" customHeight="1" x14ac:dyDescent="0.2">
      <c r="D118" s="106">
        <v>2657.22</v>
      </c>
      <c r="E118" s="96">
        <v>7.5610413193058466E-3</v>
      </c>
      <c r="F118" s="91">
        <v>240</v>
      </c>
    </row>
    <row r="119" spans="4:10" ht="12.75" hidden="1" customHeight="1" x14ac:dyDescent="0.2">
      <c r="D119" s="106">
        <v>119.28999999999999</v>
      </c>
      <c r="E119" s="96">
        <v>3.3943618480215956E-4</v>
      </c>
      <c r="F119" s="91">
        <v>250</v>
      </c>
    </row>
    <row r="120" spans="4:10" ht="12.75" hidden="1" customHeight="1" x14ac:dyDescent="0.2">
      <c r="D120" s="106">
        <v>461180.65999999992</v>
      </c>
      <c r="E120" s="96">
        <v>1.3122759974427185</v>
      </c>
    </row>
    <row r="121" spans="4:10" ht="12.75" customHeight="1" x14ac:dyDescent="0.2">
      <c r="D121" s="106"/>
      <c r="E121" s="96"/>
    </row>
    <row r="122" spans="4:10" ht="12.75" customHeight="1" x14ac:dyDescent="0.2">
      <c r="D122" s="114"/>
    </row>
    <row r="123" spans="4:10" ht="12.75" customHeight="1" x14ac:dyDescent="0.2">
      <c r="D123" s="114"/>
    </row>
    <row r="124" spans="4:10" ht="12.75" customHeight="1" x14ac:dyDescent="0.2">
      <c r="D124" s="114"/>
    </row>
    <row r="125" spans="4:10" ht="12.75" customHeight="1" x14ac:dyDescent="0.2">
      <c r="D125" s="114"/>
    </row>
    <row r="126" spans="4:10" ht="12.75" customHeight="1" x14ac:dyDescent="0.2">
      <c r="D126" s="114"/>
    </row>
    <row r="127" spans="4:10" ht="12.75" customHeight="1" x14ac:dyDescent="0.2">
      <c r="D127" s="114"/>
    </row>
    <row r="128" spans="4:10" ht="12.75" customHeight="1" x14ac:dyDescent="0.2">
      <c r="D128" s="114"/>
    </row>
    <row r="129" spans="4:4" ht="12.75" customHeight="1" x14ac:dyDescent="0.2">
      <c r="D129" s="114"/>
    </row>
    <row r="130" spans="4:4" ht="12.75" customHeight="1" x14ac:dyDescent="0.2">
      <c r="D130" s="114"/>
    </row>
    <row r="131" spans="4:4" ht="12.75" customHeight="1" x14ac:dyDescent="0.2">
      <c r="D131" s="114"/>
    </row>
    <row r="132" spans="4:4" ht="12.75" customHeight="1" x14ac:dyDescent="0.2">
      <c r="D132" s="114"/>
    </row>
    <row r="133" spans="4:4" ht="12.75" customHeight="1" x14ac:dyDescent="0.2">
      <c r="D133" s="114"/>
    </row>
    <row r="134" spans="4:4" ht="12.75" customHeight="1" x14ac:dyDescent="0.2">
      <c r="D134" s="114"/>
    </row>
    <row r="135" spans="4:4" ht="12.75" customHeight="1" x14ac:dyDescent="0.2">
      <c r="D135" s="114"/>
    </row>
    <row r="136" spans="4:4" ht="12.75" customHeight="1" x14ac:dyDescent="0.2">
      <c r="D136" s="114"/>
    </row>
    <row r="137" spans="4:4" ht="12.75" customHeight="1" x14ac:dyDescent="0.2">
      <c r="D137" s="114"/>
    </row>
    <row r="138" spans="4:4" ht="12.75" customHeight="1" x14ac:dyDescent="0.2">
      <c r="D138" s="114"/>
    </row>
    <row r="139" spans="4:4" ht="12.75" customHeight="1" x14ac:dyDescent="0.2">
      <c r="D139" s="114"/>
    </row>
    <row r="140" spans="4:4" ht="12.75" customHeight="1" x14ac:dyDescent="0.2">
      <c r="D140" s="114"/>
    </row>
    <row r="141" spans="4:4" ht="12.75" customHeight="1" x14ac:dyDescent="0.2">
      <c r="D141" s="114"/>
    </row>
    <row r="142" spans="4:4" ht="12.75" customHeight="1" x14ac:dyDescent="0.2">
      <c r="D142" s="114"/>
    </row>
    <row r="143" spans="4:4" ht="12.75" customHeight="1" x14ac:dyDescent="0.2">
      <c r="D143" s="114"/>
    </row>
    <row r="144" spans="4:4" ht="12.75" customHeight="1" x14ac:dyDescent="0.2">
      <c r="D144" s="114"/>
    </row>
    <row r="145" spans="4:4" ht="12.75" customHeight="1" x14ac:dyDescent="0.2">
      <c r="D145" s="114"/>
    </row>
    <row r="146" spans="4:4" ht="12.75" customHeight="1" x14ac:dyDescent="0.2">
      <c r="D146" s="114"/>
    </row>
    <row r="147" spans="4:4" ht="12.75" customHeight="1" x14ac:dyDescent="0.2">
      <c r="D147" s="114"/>
    </row>
    <row r="148" spans="4:4" ht="12.75" customHeight="1" x14ac:dyDescent="0.2">
      <c r="D148" s="114"/>
    </row>
    <row r="149" spans="4:4" ht="12.75" customHeight="1" x14ac:dyDescent="0.2">
      <c r="D149" s="114"/>
    </row>
    <row r="150" spans="4:4" ht="12.75" customHeight="1" x14ac:dyDescent="0.2">
      <c r="D150" s="114"/>
    </row>
    <row r="151" spans="4:4" ht="12.75" customHeight="1" x14ac:dyDescent="0.2">
      <c r="D151" s="114"/>
    </row>
    <row r="152" spans="4:4" ht="12.75" customHeight="1" x14ac:dyDescent="0.2">
      <c r="D152" s="114"/>
    </row>
    <row r="153" spans="4:4" ht="12.75" customHeight="1" x14ac:dyDescent="0.2">
      <c r="D153" s="114"/>
    </row>
    <row r="154" spans="4:4" ht="12.75" customHeight="1" x14ac:dyDescent="0.2">
      <c r="D154" s="114"/>
    </row>
    <row r="155" spans="4:4" ht="12.75" customHeight="1" x14ac:dyDescent="0.2">
      <c r="D155" s="114"/>
    </row>
    <row r="156" spans="4:4" ht="12.75" customHeight="1" x14ac:dyDescent="0.2">
      <c r="D156" s="114"/>
    </row>
    <row r="157" spans="4:4" ht="12.75" customHeight="1" x14ac:dyDescent="0.2">
      <c r="D157" s="114"/>
    </row>
    <row r="158" spans="4:4" ht="12.75" customHeight="1" x14ac:dyDescent="0.2">
      <c r="D158" s="114"/>
    </row>
    <row r="159" spans="4:4" ht="12.75" customHeight="1" x14ac:dyDescent="0.2">
      <c r="D159" s="114"/>
    </row>
    <row r="160" spans="4:4" ht="12.75" customHeight="1" x14ac:dyDescent="0.2">
      <c r="D160" s="114"/>
    </row>
    <row r="161" spans="4:4" ht="12.75" customHeight="1" x14ac:dyDescent="0.2">
      <c r="D161" s="114"/>
    </row>
    <row r="162" spans="4:4" ht="12.75" customHeight="1" x14ac:dyDescent="0.2">
      <c r="D162" s="114"/>
    </row>
    <row r="163" spans="4:4" ht="12.75" customHeight="1" x14ac:dyDescent="0.2">
      <c r="D163" s="114"/>
    </row>
    <row r="164" spans="4:4" ht="12.75" customHeight="1" x14ac:dyDescent="0.2">
      <c r="D164" s="114"/>
    </row>
    <row r="165" spans="4:4" ht="12.75" customHeight="1" x14ac:dyDescent="0.2">
      <c r="D165" s="114"/>
    </row>
    <row r="166" spans="4:4" ht="12.75" customHeight="1" x14ac:dyDescent="0.2">
      <c r="D166" s="114"/>
    </row>
  </sheetData>
  <sheetProtection algorithmName="SHA-512" hashValue="yCRCHGQQSinKdYOOtsEXI73PsgNAxiUgy4yDWaSvwDwUXqoQHyiumRBh7vtVob/PbHP9GqN9zenBvW7koNWulA==" saltValue="jv/f+/2bOJpjAyQRHZttlw==" spinCount="100000" sheet="1" objects="1" scenarios="1"/>
  <autoFilter ref="N1:N111" xr:uid="{00000000-0009-0000-0000-000004000000}">
    <filterColumn colId="0">
      <customFilters>
        <customFilter operator="notEqual" val=" "/>
      </customFilters>
    </filterColumn>
  </autoFilter>
  <sortState ref="C95:L97">
    <sortCondition ref="C95:C97"/>
  </sortState>
  <mergeCells count="18">
    <mergeCell ref="B1:E1"/>
    <mergeCell ref="B2:E2"/>
    <mergeCell ref="F9:G9"/>
    <mergeCell ref="F4:G4"/>
    <mergeCell ref="F5:G5"/>
    <mergeCell ref="F6:G6"/>
    <mergeCell ref="F7:G7"/>
    <mergeCell ref="F8:G8"/>
    <mergeCell ref="F10:G10"/>
    <mergeCell ref="I10:J10"/>
    <mergeCell ref="F13:G13"/>
    <mergeCell ref="I13:J13"/>
    <mergeCell ref="I9:J9"/>
    <mergeCell ref="I4:J4"/>
    <mergeCell ref="I5:J5"/>
    <mergeCell ref="I6:J6"/>
    <mergeCell ref="I7:J7"/>
    <mergeCell ref="I8:J8"/>
  </mergeCells>
  <phoneticPr fontId="0" type="noConversion"/>
  <printOptions horizontalCentered="1"/>
  <pageMargins left="0" right="0" top="0.5" bottom="0.5" header="0" footer="0"/>
  <pageSetup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E964-BD76-47F3-9260-55D62A8AC035}">
  <dimension ref="A1:V73"/>
  <sheetViews>
    <sheetView workbookViewId="0"/>
  </sheetViews>
  <sheetFormatPr defaultRowHeight="12.6" x14ac:dyDescent="0.25"/>
  <cols>
    <col min="1" max="1" width="4" bestFit="1" customWidth="1"/>
    <col min="2" max="3" width="5" bestFit="1" customWidth="1"/>
    <col min="4" max="4" width="4" bestFit="1" customWidth="1"/>
    <col min="5" max="5" width="33" bestFit="1" customWidth="1"/>
    <col min="6" max="6" width="7.6640625" bestFit="1" customWidth="1"/>
    <col min="7" max="18" width="7.88671875" customWidth="1"/>
    <col min="19" max="19" width="8.5546875" bestFit="1" customWidth="1"/>
  </cols>
  <sheetData>
    <row r="1" spans="1:21" ht="14.4" x14ac:dyDescent="0.3">
      <c r="A1" s="143"/>
      <c r="B1" s="143"/>
      <c r="C1" s="143"/>
      <c r="D1" s="143"/>
      <c r="E1" s="141"/>
      <c r="F1" s="141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1"/>
    </row>
    <row r="2" spans="1:21" ht="14.4" x14ac:dyDescent="0.3">
      <c r="A2" s="144"/>
      <c r="B2" s="144"/>
      <c r="C2" s="144"/>
      <c r="D2" s="144"/>
      <c r="E2" s="142"/>
      <c r="F2" s="142"/>
      <c r="G2" s="146">
        <v>1</v>
      </c>
      <c r="H2" s="146">
        <v>2</v>
      </c>
      <c r="I2" s="146">
        <v>3</v>
      </c>
      <c r="J2" s="146">
        <v>4</v>
      </c>
      <c r="K2" s="146">
        <v>5</v>
      </c>
      <c r="L2" s="146">
        <v>6</v>
      </c>
      <c r="M2" s="146">
        <v>7</v>
      </c>
      <c r="N2" s="146">
        <v>8</v>
      </c>
      <c r="O2" s="146">
        <v>9</v>
      </c>
      <c r="P2" s="146">
        <v>10</v>
      </c>
      <c r="Q2" s="146">
        <v>11</v>
      </c>
      <c r="R2" s="146">
        <v>12</v>
      </c>
      <c r="S2" s="141"/>
    </row>
    <row r="3" spans="1:21" ht="14.4" x14ac:dyDescent="0.3">
      <c r="A3" s="143">
        <v>100</v>
      </c>
      <c r="B3" s="143">
        <v>3300</v>
      </c>
      <c r="C3" s="143">
        <v>0</v>
      </c>
      <c r="D3" s="143">
        <v>0</v>
      </c>
      <c r="E3" s="141" t="s">
        <v>156</v>
      </c>
      <c r="F3" s="141" t="s">
        <v>194</v>
      </c>
      <c r="G3" s="145">
        <v>61415.83</v>
      </c>
      <c r="H3" s="145">
        <v>61415.83</v>
      </c>
      <c r="I3" s="145">
        <v>61415.82</v>
      </c>
      <c r="J3" s="145">
        <v>61415.83</v>
      </c>
      <c r="K3" s="145">
        <v>61415.83</v>
      </c>
      <c r="L3" s="145">
        <v>61415.83</v>
      </c>
      <c r="M3" s="145">
        <v>61415.83</v>
      </c>
      <c r="N3" s="145">
        <v>41461.1</v>
      </c>
      <c r="O3" s="145">
        <v>58921.49</v>
      </c>
      <c r="P3" s="145">
        <v>72340.02</v>
      </c>
      <c r="Q3" s="145">
        <v>60263.34</v>
      </c>
      <c r="R3" s="145">
        <v>59799.44</v>
      </c>
      <c r="S3" s="145">
        <v>722696.19</v>
      </c>
    </row>
    <row r="4" spans="1:21" ht="14.4" x14ac:dyDescent="0.3">
      <c r="A4" s="143">
        <v>100</v>
      </c>
      <c r="B4" s="143">
        <v>3121</v>
      </c>
      <c r="C4" s="143">
        <v>0</v>
      </c>
      <c r="D4" s="143">
        <v>0</v>
      </c>
      <c r="E4" s="141" t="s">
        <v>193</v>
      </c>
      <c r="F4" s="141" t="s">
        <v>194</v>
      </c>
      <c r="G4" s="145">
        <v>0</v>
      </c>
      <c r="H4" s="145">
        <v>0</v>
      </c>
      <c r="I4" s="145">
        <v>0</v>
      </c>
      <c r="J4" s="145">
        <v>0</v>
      </c>
      <c r="K4" s="145">
        <v>0</v>
      </c>
      <c r="L4" s="145">
        <v>0</v>
      </c>
      <c r="M4" s="145">
        <v>0</v>
      </c>
      <c r="N4" s="145">
        <v>0</v>
      </c>
      <c r="O4" s="145">
        <v>0</v>
      </c>
      <c r="P4" s="145">
        <v>0</v>
      </c>
      <c r="Q4" s="145">
        <v>0</v>
      </c>
      <c r="R4" s="145">
        <v>358.54</v>
      </c>
      <c r="S4" s="145">
        <v>358.54</v>
      </c>
    </row>
    <row r="5" spans="1:21" ht="14.4" x14ac:dyDescent="0.3">
      <c r="A5" s="143">
        <v>100</v>
      </c>
      <c r="B5" s="143">
        <v>3230</v>
      </c>
      <c r="C5" s="143">
        <v>0</v>
      </c>
      <c r="D5" s="143">
        <v>0</v>
      </c>
      <c r="E5" s="141" t="s">
        <v>157</v>
      </c>
      <c r="F5" s="141" t="s">
        <v>194</v>
      </c>
      <c r="G5" s="145">
        <v>0</v>
      </c>
      <c r="H5" s="145">
        <v>0</v>
      </c>
      <c r="I5" s="145">
        <v>0</v>
      </c>
      <c r="J5" s="145">
        <v>0</v>
      </c>
      <c r="K5" s="145">
        <v>0</v>
      </c>
      <c r="L5" s="145">
        <v>0</v>
      </c>
      <c r="M5" s="145">
        <v>0</v>
      </c>
      <c r="N5" s="145">
        <v>60000</v>
      </c>
      <c r="O5" s="145">
        <v>0</v>
      </c>
      <c r="P5" s="145">
        <v>0</v>
      </c>
      <c r="Q5" s="145">
        <v>0</v>
      </c>
      <c r="R5" s="145">
        <v>0</v>
      </c>
      <c r="S5" s="145">
        <v>60000</v>
      </c>
    </row>
    <row r="6" spans="1:21" ht="14.4" x14ac:dyDescent="0.3">
      <c r="A6" s="143">
        <v>100</v>
      </c>
      <c r="B6" s="143">
        <v>3355</v>
      </c>
      <c r="C6" s="143">
        <v>0</v>
      </c>
      <c r="D6" s="143">
        <v>0</v>
      </c>
      <c r="E6" s="141" t="s">
        <v>195</v>
      </c>
      <c r="F6" s="141" t="s">
        <v>194</v>
      </c>
      <c r="G6" s="145">
        <v>0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M6" s="145">
        <v>0</v>
      </c>
      <c r="N6" s="145">
        <v>0</v>
      </c>
      <c r="O6" s="145">
        <v>0</v>
      </c>
      <c r="P6" s="145">
        <v>0</v>
      </c>
      <c r="Q6" s="145">
        <v>0</v>
      </c>
      <c r="R6" s="145">
        <v>47</v>
      </c>
      <c r="S6" s="145">
        <v>47</v>
      </c>
    </row>
    <row r="7" spans="1:21" ht="14.4" x14ac:dyDescent="0.3">
      <c r="A7" s="143">
        <v>100</v>
      </c>
      <c r="B7" s="143">
        <v>3390</v>
      </c>
      <c r="C7" s="143">
        <v>0</v>
      </c>
      <c r="D7" s="143">
        <v>0</v>
      </c>
      <c r="E7" s="141" t="s">
        <v>182</v>
      </c>
      <c r="F7" s="141" t="s">
        <v>194</v>
      </c>
      <c r="G7" s="145">
        <v>0</v>
      </c>
      <c r="H7" s="145">
        <v>0</v>
      </c>
      <c r="I7" s="145">
        <v>0</v>
      </c>
      <c r="J7" s="145">
        <v>0</v>
      </c>
      <c r="K7" s="145">
        <v>55200</v>
      </c>
      <c r="L7" s="145">
        <v>0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55200</v>
      </c>
    </row>
    <row r="8" spans="1:21" ht="14.4" x14ac:dyDescent="0.3">
      <c r="A8" s="143">
        <v>100</v>
      </c>
      <c r="B8" s="143">
        <v>3400</v>
      </c>
      <c r="C8" s="143">
        <v>0</v>
      </c>
      <c r="D8" s="143">
        <v>0</v>
      </c>
      <c r="E8" s="141" t="s">
        <v>94</v>
      </c>
      <c r="F8" s="141" t="s">
        <v>194</v>
      </c>
      <c r="G8" s="145">
        <v>0.14000000000000001</v>
      </c>
      <c r="H8" s="145">
        <v>0.15</v>
      </c>
      <c r="I8" s="145">
        <v>0.15</v>
      </c>
      <c r="J8" s="145">
        <v>0.17</v>
      </c>
      <c r="K8" s="145">
        <v>0.16</v>
      </c>
      <c r="L8" s="145">
        <v>0.18</v>
      </c>
      <c r="M8" s="145">
        <v>0.19</v>
      </c>
      <c r="N8" s="145">
        <v>0.18</v>
      </c>
      <c r="O8" s="145">
        <v>0.21</v>
      </c>
      <c r="P8" s="145">
        <v>0.22</v>
      </c>
      <c r="Q8" s="145">
        <v>0.25</v>
      </c>
      <c r="R8" s="145">
        <v>0.25</v>
      </c>
      <c r="S8" s="145">
        <v>2.25</v>
      </c>
    </row>
    <row r="9" spans="1:21" ht="14.4" x14ac:dyDescent="0.3">
      <c r="A9" s="143">
        <v>100</v>
      </c>
      <c r="B9" s="143">
        <v>3473</v>
      </c>
      <c r="C9" s="143">
        <v>0</v>
      </c>
      <c r="D9" s="143">
        <v>0</v>
      </c>
      <c r="E9" s="141" t="s">
        <v>95</v>
      </c>
      <c r="F9" s="141" t="s">
        <v>194</v>
      </c>
      <c r="G9" s="145">
        <v>0.06</v>
      </c>
      <c r="H9" s="145">
        <v>11683.46</v>
      </c>
      <c r="I9" s="145">
        <v>504</v>
      </c>
      <c r="J9" s="145">
        <v>1280.8699999999999</v>
      </c>
      <c r="K9" s="145">
        <v>977.79</v>
      </c>
      <c r="L9" s="145">
        <v>927</v>
      </c>
      <c r="M9" s="145">
        <v>2056.2399999999998</v>
      </c>
      <c r="N9" s="145">
        <v>1279</v>
      </c>
      <c r="O9" s="145">
        <v>1580.44</v>
      </c>
      <c r="P9" s="145">
        <v>5890</v>
      </c>
      <c r="Q9" s="145">
        <v>3064.4</v>
      </c>
      <c r="R9" s="145">
        <v>-1138</v>
      </c>
      <c r="S9" s="145">
        <v>28105.26</v>
      </c>
    </row>
    <row r="10" spans="1:21" ht="14.4" x14ac:dyDescent="0.3">
      <c r="A10" s="143">
        <v>100</v>
      </c>
      <c r="B10" s="143">
        <v>3476</v>
      </c>
      <c r="C10" s="143">
        <v>0</v>
      </c>
      <c r="D10" s="143">
        <v>0</v>
      </c>
      <c r="E10" s="141" t="s">
        <v>96</v>
      </c>
      <c r="F10" s="141" t="s">
        <v>194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520</v>
      </c>
      <c r="R10" s="145">
        <v>0</v>
      </c>
      <c r="S10" s="145">
        <v>520</v>
      </c>
    </row>
    <row r="11" spans="1:21" ht="14.4" x14ac:dyDescent="0.3">
      <c r="A11" s="143">
        <v>100</v>
      </c>
      <c r="B11" s="143">
        <v>3600</v>
      </c>
      <c r="C11" s="143">
        <v>0</v>
      </c>
      <c r="D11" s="143">
        <v>0</v>
      </c>
      <c r="E11" s="141" t="s">
        <v>97</v>
      </c>
      <c r="F11" s="141" t="s">
        <v>194</v>
      </c>
      <c r="G11" s="145">
        <v>10000</v>
      </c>
      <c r="H11" s="145">
        <v>738.99</v>
      </c>
      <c r="I11" s="145">
        <v>0</v>
      </c>
      <c r="J11" s="145">
        <v>10500</v>
      </c>
      <c r="K11" s="145">
        <v>35</v>
      </c>
      <c r="L11" s="145">
        <v>36781</v>
      </c>
      <c r="M11" s="145">
        <v>0</v>
      </c>
      <c r="N11" s="145">
        <v>335</v>
      </c>
      <c r="O11" s="145">
        <v>10220</v>
      </c>
      <c r="P11" s="145">
        <v>95</v>
      </c>
      <c r="Q11" s="145">
        <v>385</v>
      </c>
      <c r="R11" s="145">
        <v>13500</v>
      </c>
      <c r="S11" s="145">
        <v>82589.989999999991</v>
      </c>
    </row>
    <row r="12" spans="1:21" ht="14.4" x14ac:dyDescent="0.3">
      <c r="A12" s="143">
        <v>360</v>
      </c>
      <c r="B12" s="143">
        <v>3397</v>
      </c>
      <c r="C12" s="143">
        <v>0</v>
      </c>
      <c r="D12" s="143">
        <v>0</v>
      </c>
      <c r="E12" s="141" t="s">
        <v>132</v>
      </c>
      <c r="F12" s="141" t="s">
        <v>194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3461</v>
      </c>
      <c r="N12" s="145">
        <v>1845</v>
      </c>
      <c r="O12" s="145">
        <v>1845</v>
      </c>
      <c r="P12" s="145">
        <v>1845</v>
      </c>
      <c r="Q12" s="145">
        <v>1845</v>
      </c>
      <c r="R12" s="145">
        <v>1844</v>
      </c>
      <c r="S12" s="145">
        <v>12685</v>
      </c>
      <c r="T12" s="155"/>
    </row>
    <row r="13" spans="1:21" ht="14.4" x14ac:dyDescent="0.3">
      <c r="A13" s="143">
        <v>360</v>
      </c>
      <c r="B13" s="143">
        <v>3413</v>
      </c>
      <c r="C13" s="143">
        <v>0</v>
      </c>
      <c r="D13" s="143">
        <v>0</v>
      </c>
      <c r="E13" s="141" t="s">
        <v>188</v>
      </c>
      <c r="F13" s="141" t="s">
        <v>194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10227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10227</v>
      </c>
      <c r="T13" s="145">
        <f>SUM(S3:S13)</f>
        <v>972431.23</v>
      </c>
      <c r="U13" s="145"/>
    </row>
    <row r="14" spans="1:21" ht="14.4" x14ac:dyDescent="0.3">
      <c r="A14" s="143"/>
      <c r="B14" s="143"/>
      <c r="C14" s="143"/>
      <c r="D14" s="143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5"/>
      <c r="U14" s="145"/>
    </row>
    <row r="15" spans="1:21" ht="14.4" x14ac:dyDescent="0.3">
      <c r="A15" s="143"/>
      <c r="B15" s="143"/>
      <c r="C15" s="143"/>
      <c r="D15" s="143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5"/>
      <c r="U15" s="145"/>
    </row>
    <row r="16" spans="1:21" ht="14.4" x14ac:dyDescent="0.3">
      <c r="A16" s="143"/>
      <c r="B16" s="143"/>
      <c r="C16" s="143"/>
      <c r="D16" s="143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5"/>
      <c r="U16" s="145"/>
    </row>
    <row r="17" spans="1:22" ht="14.4" x14ac:dyDescent="0.3">
      <c r="A17" s="143">
        <v>100</v>
      </c>
      <c r="B17" s="143">
        <v>4000</v>
      </c>
      <c r="C17" s="143">
        <v>5200</v>
      </c>
      <c r="D17" s="143">
        <v>120</v>
      </c>
      <c r="E17" s="141" t="s">
        <v>141</v>
      </c>
      <c r="F17" s="141" t="s">
        <v>196</v>
      </c>
      <c r="G17" s="145">
        <v>3016.36</v>
      </c>
      <c r="H17" s="145">
        <v>21028.97</v>
      </c>
      <c r="I17" s="145">
        <v>13263.75</v>
      </c>
      <c r="J17" s="145">
        <v>11326.23</v>
      </c>
      <c r="K17" s="145">
        <v>10597.6</v>
      </c>
      <c r="L17" s="145">
        <v>11686.22</v>
      </c>
      <c r="M17" s="145">
        <v>11506.22</v>
      </c>
      <c r="N17" s="145">
        <v>11326.22</v>
      </c>
      <c r="O17" s="145">
        <v>11326.22</v>
      </c>
      <c r="P17" s="145">
        <v>11326.22</v>
      </c>
      <c r="Q17" s="145">
        <v>11326.22</v>
      </c>
      <c r="R17" s="145">
        <v>19794.64</v>
      </c>
      <c r="S17" s="145">
        <v>147524.87</v>
      </c>
      <c r="T17" s="145"/>
      <c r="U17" s="145">
        <f>+SUM(S17:S19,S25,S31)</f>
        <v>351435.72</v>
      </c>
      <c r="V17" s="156"/>
    </row>
    <row r="18" spans="1:22" ht="14.4" x14ac:dyDescent="0.3">
      <c r="A18" s="143">
        <v>100</v>
      </c>
      <c r="B18" s="143">
        <v>4000</v>
      </c>
      <c r="C18" s="143">
        <v>5200</v>
      </c>
      <c r="D18" s="143">
        <v>121</v>
      </c>
      <c r="E18" s="141" t="s">
        <v>155</v>
      </c>
      <c r="F18" s="141" t="s">
        <v>196</v>
      </c>
      <c r="G18" s="145">
        <v>400.44</v>
      </c>
      <c r="H18" s="145">
        <v>330.76</v>
      </c>
      <c r="I18" s="145">
        <v>920.03</v>
      </c>
      <c r="J18" s="145">
        <v>1171.1300000000001</v>
      </c>
      <c r="K18" s="145">
        <v>1228.5</v>
      </c>
      <c r="L18" s="145">
        <v>1044.23</v>
      </c>
      <c r="M18" s="145">
        <v>1228.5</v>
      </c>
      <c r="N18" s="145">
        <v>1026</v>
      </c>
      <c r="O18" s="145">
        <v>559.58000000000004</v>
      </c>
      <c r="P18" s="145">
        <v>852.53</v>
      </c>
      <c r="Q18" s="145">
        <v>1554.38</v>
      </c>
      <c r="R18" s="145">
        <v>394.88</v>
      </c>
      <c r="S18" s="145">
        <v>10710.960000000001</v>
      </c>
      <c r="T18" s="145"/>
      <c r="U18" s="145">
        <f>+SUM(S20,S26,S32)</f>
        <v>24663.900000000005</v>
      </c>
      <c r="V18" s="156">
        <f>+U18/$U$17</f>
        <v>7.0180401696219169E-2</v>
      </c>
    </row>
    <row r="19" spans="1:22" ht="14.4" x14ac:dyDescent="0.3">
      <c r="A19" s="143">
        <v>100</v>
      </c>
      <c r="B19" s="143">
        <v>4000</v>
      </c>
      <c r="C19" s="143">
        <v>5200</v>
      </c>
      <c r="D19" s="143">
        <v>150</v>
      </c>
      <c r="E19" s="141" t="s">
        <v>154</v>
      </c>
      <c r="F19" s="141" t="s">
        <v>196</v>
      </c>
      <c r="G19" s="145">
        <v>4363.8900000000003</v>
      </c>
      <c r="H19" s="145">
        <v>10008.92</v>
      </c>
      <c r="I19" s="145">
        <v>10408.56</v>
      </c>
      <c r="J19" s="145">
        <v>10840.94</v>
      </c>
      <c r="K19" s="145">
        <v>11746.66</v>
      </c>
      <c r="L19" s="145">
        <v>10420.120000000001</v>
      </c>
      <c r="M19" s="145">
        <v>12427.06</v>
      </c>
      <c r="N19" s="145">
        <v>12249.89</v>
      </c>
      <c r="O19" s="145">
        <v>11413.16</v>
      </c>
      <c r="P19" s="145">
        <v>13906.44</v>
      </c>
      <c r="Q19" s="145">
        <v>15240.89</v>
      </c>
      <c r="R19" s="145">
        <v>10220.1</v>
      </c>
      <c r="S19" s="145">
        <v>133246.63</v>
      </c>
      <c r="T19" s="145"/>
      <c r="U19" s="145">
        <f>+SUM(S21,S27,S33)</f>
        <v>25623.040000000001</v>
      </c>
      <c r="V19" s="156">
        <f t="shared" ref="V19:V23" si="0">+U19/$U$17</f>
        <v>7.2909606342804315E-2</v>
      </c>
    </row>
    <row r="20" spans="1:22" ht="14.4" x14ac:dyDescent="0.3">
      <c r="A20" s="143">
        <v>100</v>
      </c>
      <c r="B20" s="143">
        <v>4000</v>
      </c>
      <c r="C20" s="143">
        <v>5200</v>
      </c>
      <c r="D20" s="143">
        <v>210</v>
      </c>
      <c r="E20" s="141" t="s">
        <v>22</v>
      </c>
      <c r="F20" s="141" t="s">
        <v>196</v>
      </c>
      <c r="G20" s="145">
        <v>575.02</v>
      </c>
      <c r="H20" s="145">
        <v>1913.39</v>
      </c>
      <c r="I20" s="145">
        <v>1727.47</v>
      </c>
      <c r="J20" s="145">
        <v>1686.19</v>
      </c>
      <c r="K20" s="145">
        <v>1703.07</v>
      </c>
      <c r="L20" s="145">
        <v>1674.63</v>
      </c>
      <c r="M20" s="145">
        <v>1828.94</v>
      </c>
      <c r="N20" s="145">
        <v>1784.58</v>
      </c>
      <c r="O20" s="145">
        <v>1683.03</v>
      </c>
      <c r="P20" s="145">
        <v>1897.1</v>
      </c>
      <c r="Q20" s="145">
        <v>2055.06</v>
      </c>
      <c r="R20" s="145">
        <v>2064.02</v>
      </c>
      <c r="S20" s="145">
        <v>20592.500000000004</v>
      </c>
      <c r="T20" s="145"/>
      <c r="U20" s="145">
        <f>+SUM(S22,S28)</f>
        <v>56681.490000000005</v>
      </c>
      <c r="V20" s="156">
        <f t="shared" si="0"/>
        <v>0.16128551189958723</v>
      </c>
    </row>
    <row r="21" spans="1:22" ht="14.4" x14ac:dyDescent="0.3">
      <c r="A21" s="143">
        <v>100</v>
      </c>
      <c r="B21" s="143">
        <v>4000</v>
      </c>
      <c r="C21" s="143">
        <v>5200</v>
      </c>
      <c r="D21" s="143">
        <v>220</v>
      </c>
      <c r="E21" s="141" t="s">
        <v>24</v>
      </c>
      <c r="F21" s="141" t="s">
        <v>196</v>
      </c>
      <c r="G21" s="145">
        <v>554.22</v>
      </c>
      <c r="H21" s="145">
        <v>2326.23</v>
      </c>
      <c r="I21" s="145">
        <v>1807.83</v>
      </c>
      <c r="J21" s="145">
        <v>1711.87</v>
      </c>
      <c r="K21" s="145">
        <v>1725.12</v>
      </c>
      <c r="L21" s="145">
        <v>1692.8</v>
      </c>
      <c r="M21" s="145">
        <v>1821.61</v>
      </c>
      <c r="N21" s="145">
        <v>1753.74</v>
      </c>
      <c r="O21" s="145">
        <v>1654.44</v>
      </c>
      <c r="P21" s="145">
        <v>1911.42</v>
      </c>
      <c r="Q21" s="145">
        <v>2067.2199999999998</v>
      </c>
      <c r="R21" s="145">
        <v>2227.9</v>
      </c>
      <c r="S21" s="145">
        <v>21254.400000000001</v>
      </c>
      <c r="T21" s="145"/>
      <c r="U21" s="145">
        <f>+SUM(S23,S29,S34)</f>
        <v>2657.22</v>
      </c>
      <c r="V21" s="156">
        <f t="shared" si="0"/>
        <v>7.5610413193058466E-3</v>
      </c>
    </row>
    <row r="22" spans="1:22" ht="14.4" x14ac:dyDescent="0.3">
      <c r="A22" s="143">
        <v>100</v>
      </c>
      <c r="B22" s="143">
        <v>4000</v>
      </c>
      <c r="C22" s="143">
        <v>5200</v>
      </c>
      <c r="D22" s="143">
        <v>230</v>
      </c>
      <c r="E22" s="141" t="s">
        <v>127</v>
      </c>
      <c r="F22" s="141" t="s">
        <v>196</v>
      </c>
      <c r="G22" s="145">
        <v>4041.8</v>
      </c>
      <c r="H22" s="145">
        <v>2749.72</v>
      </c>
      <c r="I22" s="145">
        <v>1854.47</v>
      </c>
      <c r="J22" s="145">
        <v>3581.38</v>
      </c>
      <c r="K22" s="145">
        <v>3103.81</v>
      </c>
      <c r="L22" s="145">
        <v>3103.94</v>
      </c>
      <c r="M22" s="145">
        <v>4705.66</v>
      </c>
      <c r="N22" s="145">
        <v>1735.77</v>
      </c>
      <c r="O22" s="145">
        <v>3470.88</v>
      </c>
      <c r="P22" s="145">
        <v>3181.53</v>
      </c>
      <c r="Q22" s="145">
        <v>3470.79</v>
      </c>
      <c r="R22" s="145">
        <v>3660.9</v>
      </c>
      <c r="S22" s="145">
        <v>38660.65</v>
      </c>
      <c r="T22" s="145"/>
      <c r="U22" s="145">
        <f>+SUM(S24,S30,S35)</f>
        <v>119.28999999999999</v>
      </c>
      <c r="V22" s="156">
        <f t="shared" si="0"/>
        <v>3.3943618480215956E-4</v>
      </c>
    </row>
    <row r="23" spans="1:22" ht="14.4" x14ac:dyDescent="0.3">
      <c r="A23" s="143">
        <v>100</v>
      </c>
      <c r="B23" s="143">
        <v>4000</v>
      </c>
      <c r="C23" s="143">
        <v>5200</v>
      </c>
      <c r="D23" s="143">
        <v>240</v>
      </c>
      <c r="E23" s="141" t="s">
        <v>128</v>
      </c>
      <c r="F23" s="141" t="s">
        <v>196</v>
      </c>
      <c r="G23" s="145">
        <v>1860.05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1860.05</v>
      </c>
      <c r="T23" s="145"/>
      <c r="U23" s="145">
        <f>SUM(U17:U22)</f>
        <v>461180.65999999992</v>
      </c>
      <c r="V23" s="156">
        <f t="shared" si="0"/>
        <v>1.3122759974427185</v>
      </c>
    </row>
    <row r="24" spans="1:22" ht="14.4" x14ac:dyDescent="0.3">
      <c r="A24" s="143">
        <v>100</v>
      </c>
      <c r="B24" s="143">
        <v>4000</v>
      </c>
      <c r="C24" s="143">
        <v>5200</v>
      </c>
      <c r="D24" s="143">
        <v>250</v>
      </c>
      <c r="E24" s="141" t="s">
        <v>129</v>
      </c>
      <c r="F24" s="141" t="s">
        <v>196</v>
      </c>
      <c r="G24" s="145">
        <v>0.41</v>
      </c>
      <c r="H24" s="145">
        <v>4.6500000000000004</v>
      </c>
      <c r="I24" s="145">
        <v>4.37</v>
      </c>
      <c r="J24" s="145">
        <v>2.02</v>
      </c>
      <c r="K24" s="145">
        <v>1.1599999999999999</v>
      </c>
      <c r="L24" s="145">
        <v>0.98</v>
      </c>
      <c r="M24" s="145">
        <v>23.82</v>
      </c>
      <c r="N24" s="145">
        <v>21.12</v>
      </c>
      <c r="O24" s="145">
        <v>15.51</v>
      </c>
      <c r="P24" s="145">
        <v>7.27</v>
      </c>
      <c r="Q24" s="145">
        <v>4.8499999999999996</v>
      </c>
      <c r="R24" s="145">
        <v>1.58</v>
      </c>
      <c r="S24" s="145">
        <v>87.74</v>
      </c>
      <c r="T24" s="145"/>
      <c r="U24" s="145"/>
      <c r="V24" s="156"/>
    </row>
    <row r="25" spans="1:22" ht="14.4" x14ac:dyDescent="0.3">
      <c r="A25" s="143">
        <v>100</v>
      </c>
      <c r="B25" s="143">
        <v>4000</v>
      </c>
      <c r="C25" s="143">
        <v>6100</v>
      </c>
      <c r="D25" s="143">
        <v>150</v>
      </c>
      <c r="E25" s="141" t="s">
        <v>153</v>
      </c>
      <c r="F25" s="141" t="s">
        <v>196</v>
      </c>
      <c r="G25" s="145">
        <v>2408.9</v>
      </c>
      <c r="H25" s="145">
        <v>3522.5</v>
      </c>
      <c r="I25" s="145">
        <v>4559.1000000000004</v>
      </c>
      <c r="J25" s="145">
        <v>4180</v>
      </c>
      <c r="K25" s="145">
        <v>4519.2</v>
      </c>
      <c r="L25" s="145">
        <v>3822.5</v>
      </c>
      <c r="M25" s="145">
        <v>3903.4</v>
      </c>
      <c r="N25" s="145">
        <v>3075.8</v>
      </c>
      <c r="O25" s="145">
        <v>2884.2</v>
      </c>
      <c r="P25" s="145">
        <v>3596.26</v>
      </c>
      <c r="Q25" s="145">
        <v>4563.1499999999996</v>
      </c>
      <c r="R25" s="145">
        <v>2515.31</v>
      </c>
      <c r="S25" s="145">
        <v>43550.32</v>
      </c>
      <c r="T25" s="145"/>
      <c r="U25" s="145"/>
      <c r="V25" s="156"/>
    </row>
    <row r="26" spans="1:22" ht="14.4" x14ac:dyDescent="0.3">
      <c r="A26" s="143">
        <v>100</v>
      </c>
      <c r="B26" s="143">
        <v>4000</v>
      </c>
      <c r="C26" s="143">
        <v>6100</v>
      </c>
      <c r="D26" s="143">
        <v>210</v>
      </c>
      <c r="E26" s="141" t="s">
        <v>22</v>
      </c>
      <c r="F26" s="141" t="s">
        <v>196</v>
      </c>
      <c r="G26" s="145">
        <v>190.78</v>
      </c>
      <c r="H26" s="145">
        <v>278.97000000000003</v>
      </c>
      <c r="I26" s="145">
        <v>361.08</v>
      </c>
      <c r="J26" s="145">
        <v>331.05</v>
      </c>
      <c r="K26" s="145">
        <v>357.92</v>
      </c>
      <c r="L26" s="145">
        <v>302.74</v>
      </c>
      <c r="M26" s="145">
        <v>309.14</v>
      </c>
      <c r="N26" s="145">
        <v>243.61</v>
      </c>
      <c r="O26" s="145">
        <v>228.42</v>
      </c>
      <c r="P26" s="145">
        <v>284.83</v>
      </c>
      <c r="Q26" s="145">
        <v>361.4</v>
      </c>
      <c r="R26" s="145">
        <v>199.22</v>
      </c>
      <c r="S26" s="145">
        <v>3449.16</v>
      </c>
      <c r="T26" s="145"/>
      <c r="U26" s="145"/>
      <c r="V26" s="156"/>
    </row>
    <row r="27" spans="1:22" ht="14.4" x14ac:dyDescent="0.3">
      <c r="A27" s="143">
        <v>100</v>
      </c>
      <c r="B27" s="143">
        <v>4000</v>
      </c>
      <c r="C27" s="143">
        <v>6100</v>
      </c>
      <c r="D27" s="143">
        <v>220</v>
      </c>
      <c r="E27" s="141" t="s">
        <v>24</v>
      </c>
      <c r="F27" s="141" t="s">
        <v>196</v>
      </c>
      <c r="G27" s="145">
        <v>184.29</v>
      </c>
      <c r="H27" s="145">
        <v>248.7</v>
      </c>
      <c r="I27" s="145">
        <v>328.01</v>
      </c>
      <c r="J27" s="145">
        <v>299</v>
      </c>
      <c r="K27" s="145">
        <v>324.95</v>
      </c>
      <c r="L27" s="145">
        <v>271.66000000000003</v>
      </c>
      <c r="M27" s="145">
        <v>278.26</v>
      </c>
      <c r="N27" s="145">
        <v>215.4</v>
      </c>
      <c r="O27" s="145">
        <v>197.33</v>
      </c>
      <c r="P27" s="145">
        <v>255.21</v>
      </c>
      <c r="Q27" s="145">
        <v>329.16</v>
      </c>
      <c r="R27" s="145">
        <v>182.47</v>
      </c>
      <c r="S27" s="145">
        <v>3114.4399999999996</v>
      </c>
      <c r="T27" s="145"/>
      <c r="U27" s="145"/>
    </row>
    <row r="28" spans="1:22" ht="14.4" x14ac:dyDescent="0.3">
      <c r="A28" s="143">
        <v>100</v>
      </c>
      <c r="B28" s="143">
        <v>4000</v>
      </c>
      <c r="C28" s="143">
        <v>6100</v>
      </c>
      <c r="D28" s="143">
        <v>230</v>
      </c>
      <c r="E28" s="141" t="s">
        <v>127</v>
      </c>
      <c r="F28" s="141" t="s">
        <v>196</v>
      </c>
      <c r="G28" s="145">
        <v>1547.88</v>
      </c>
      <c r="H28" s="145">
        <v>1552.64</v>
      </c>
      <c r="I28" s="145">
        <v>1552.64</v>
      </c>
      <c r="J28" s="145">
        <v>1552.64</v>
      </c>
      <c r="K28" s="145">
        <v>1552.64</v>
      </c>
      <c r="L28" s="145">
        <v>1552.64</v>
      </c>
      <c r="M28" s="145">
        <v>1520.08</v>
      </c>
      <c r="N28" s="145">
        <v>1487.52</v>
      </c>
      <c r="O28" s="145">
        <v>1487.52</v>
      </c>
      <c r="P28" s="145">
        <v>1487.52</v>
      </c>
      <c r="Q28" s="145">
        <v>1487.52</v>
      </c>
      <c r="R28" s="145">
        <v>1239.5999999999999</v>
      </c>
      <c r="S28" s="145">
        <v>18020.84</v>
      </c>
      <c r="T28" s="145"/>
      <c r="U28" s="145"/>
    </row>
    <row r="29" spans="1:22" ht="14.4" x14ac:dyDescent="0.3">
      <c r="A29" s="143">
        <v>100</v>
      </c>
      <c r="B29" s="143">
        <v>4000</v>
      </c>
      <c r="C29" s="143">
        <v>6100</v>
      </c>
      <c r="D29" s="143">
        <v>240</v>
      </c>
      <c r="E29" s="141" t="s">
        <v>128</v>
      </c>
      <c r="F29" s="141" t="s">
        <v>196</v>
      </c>
      <c r="G29" s="145">
        <v>531.44000000000005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531.44000000000005</v>
      </c>
      <c r="T29" s="145"/>
      <c r="U29" s="145"/>
    </row>
    <row r="30" spans="1:22" ht="14.4" x14ac:dyDescent="0.3">
      <c r="A30" s="143">
        <v>100</v>
      </c>
      <c r="B30" s="143">
        <v>4000</v>
      </c>
      <c r="C30" s="143">
        <v>6100</v>
      </c>
      <c r="D30" s="143">
        <v>250</v>
      </c>
      <c r="E30" s="141" t="s">
        <v>129</v>
      </c>
      <c r="F30" s="141" t="s">
        <v>196</v>
      </c>
      <c r="G30" s="145">
        <v>0.55000000000000004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3.65</v>
      </c>
      <c r="N30" s="145">
        <v>2.82</v>
      </c>
      <c r="O30" s="145">
        <v>2.58</v>
      </c>
      <c r="P30" s="145">
        <v>3.23</v>
      </c>
      <c r="Q30" s="145">
        <v>2.44</v>
      </c>
      <c r="R30" s="145">
        <v>1.07</v>
      </c>
      <c r="S30" s="145">
        <v>16.34</v>
      </c>
      <c r="T30" s="145"/>
      <c r="U30" s="145"/>
    </row>
    <row r="31" spans="1:22" ht="14.4" x14ac:dyDescent="0.3">
      <c r="A31" s="143">
        <v>100</v>
      </c>
      <c r="B31" s="143">
        <v>4000</v>
      </c>
      <c r="C31" s="143">
        <v>7300</v>
      </c>
      <c r="D31" s="143">
        <v>160</v>
      </c>
      <c r="E31" s="141" t="s">
        <v>152</v>
      </c>
      <c r="F31" s="141" t="s">
        <v>196</v>
      </c>
      <c r="G31" s="145">
        <v>786.5</v>
      </c>
      <c r="H31" s="145">
        <v>944.32</v>
      </c>
      <c r="I31" s="145">
        <v>1439.8</v>
      </c>
      <c r="J31" s="145">
        <v>1338.7</v>
      </c>
      <c r="K31" s="145">
        <v>1407.5</v>
      </c>
      <c r="L31" s="145">
        <v>1378.95</v>
      </c>
      <c r="M31" s="145">
        <v>1734.58</v>
      </c>
      <c r="N31" s="145">
        <v>1455.85</v>
      </c>
      <c r="O31" s="145">
        <v>1322.55</v>
      </c>
      <c r="P31" s="145">
        <v>1645.58</v>
      </c>
      <c r="Q31" s="145">
        <v>1752.83</v>
      </c>
      <c r="R31" s="145">
        <v>1195.78</v>
      </c>
      <c r="S31" s="145">
        <v>16402.939999999999</v>
      </c>
      <c r="T31" s="145"/>
      <c r="U31" s="145"/>
    </row>
    <row r="32" spans="1:22" ht="14.4" x14ac:dyDescent="0.3">
      <c r="A32" s="143">
        <v>100</v>
      </c>
      <c r="B32" s="143">
        <v>4000</v>
      </c>
      <c r="C32" s="143">
        <v>7300</v>
      </c>
      <c r="D32" s="143">
        <v>210</v>
      </c>
      <c r="E32" s="141" t="s">
        <v>22</v>
      </c>
      <c r="F32" s="141" t="s">
        <v>196</v>
      </c>
      <c r="G32" s="145">
        <v>27.18</v>
      </c>
      <c r="H32" s="145">
        <v>34.86</v>
      </c>
      <c r="I32" s="145">
        <v>51.16</v>
      </c>
      <c r="J32" s="145">
        <v>47.32</v>
      </c>
      <c r="K32" s="145">
        <v>48.6</v>
      </c>
      <c r="L32" s="145">
        <v>53.72</v>
      </c>
      <c r="M32" s="145">
        <v>73.540000000000006</v>
      </c>
      <c r="N32" s="145">
        <v>55</v>
      </c>
      <c r="O32" s="145">
        <v>46.05</v>
      </c>
      <c r="P32" s="145">
        <v>61.39</v>
      </c>
      <c r="Q32" s="145">
        <v>61.39</v>
      </c>
      <c r="R32" s="145">
        <v>62.03</v>
      </c>
      <c r="S32" s="145">
        <v>622.24</v>
      </c>
      <c r="T32" s="145"/>
      <c r="U32" s="145"/>
    </row>
    <row r="33" spans="1:21" ht="14.4" x14ac:dyDescent="0.3">
      <c r="A33" s="143">
        <v>100</v>
      </c>
      <c r="B33" s="143">
        <v>4000</v>
      </c>
      <c r="C33" s="143">
        <v>7300</v>
      </c>
      <c r="D33" s="143">
        <v>220</v>
      </c>
      <c r="E33" s="141" t="s">
        <v>24</v>
      </c>
      <c r="F33" s="141" t="s">
        <v>196</v>
      </c>
      <c r="G33" s="145">
        <v>60.17</v>
      </c>
      <c r="H33" s="145">
        <v>72.260000000000005</v>
      </c>
      <c r="I33" s="145">
        <v>110.16</v>
      </c>
      <c r="J33" s="145">
        <v>102.41</v>
      </c>
      <c r="K33" s="145">
        <v>107.69</v>
      </c>
      <c r="L33" s="145">
        <v>105.5</v>
      </c>
      <c r="M33" s="145">
        <v>132.69999999999999</v>
      </c>
      <c r="N33" s="145">
        <v>111.39</v>
      </c>
      <c r="O33" s="145">
        <v>100.44</v>
      </c>
      <c r="P33" s="145">
        <v>125.89</v>
      </c>
      <c r="Q33" s="145">
        <v>134.11000000000001</v>
      </c>
      <c r="R33" s="145">
        <v>91.48</v>
      </c>
      <c r="S33" s="145">
        <v>1254.2000000000003</v>
      </c>
      <c r="T33" s="145"/>
      <c r="U33" s="145"/>
    </row>
    <row r="34" spans="1:21" ht="14.4" x14ac:dyDescent="0.3">
      <c r="A34" s="143">
        <v>100</v>
      </c>
      <c r="B34" s="143">
        <v>4000</v>
      </c>
      <c r="C34" s="143">
        <v>7300</v>
      </c>
      <c r="D34" s="143">
        <v>240</v>
      </c>
      <c r="E34" s="141" t="s">
        <v>128</v>
      </c>
      <c r="F34" s="141" t="s">
        <v>196</v>
      </c>
      <c r="G34" s="145">
        <v>265.73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265.73</v>
      </c>
      <c r="T34" s="145"/>
      <c r="U34" s="145"/>
    </row>
    <row r="35" spans="1:21" ht="14.4" x14ac:dyDescent="0.3">
      <c r="A35" s="143">
        <v>100</v>
      </c>
      <c r="B35" s="143">
        <v>4000</v>
      </c>
      <c r="C35" s="143">
        <v>7300</v>
      </c>
      <c r="D35" s="143">
        <v>250</v>
      </c>
      <c r="E35" s="141" t="s">
        <v>129</v>
      </c>
      <c r="F35" s="141" t="s">
        <v>196</v>
      </c>
      <c r="G35" s="145">
        <v>0.77</v>
      </c>
      <c r="H35" s="145">
        <v>0.94</v>
      </c>
      <c r="I35" s="145">
        <v>1.42</v>
      </c>
      <c r="J35" s="145">
        <v>1.32</v>
      </c>
      <c r="K35" s="145">
        <v>1.07</v>
      </c>
      <c r="L35" s="145">
        <v>0.69</v>
      </c>
      <c r="M35" s="145">
        <v>1.73</v>
      </c>
      <c r="N35" s="145">
        <v>1.44</v>
      </c>
      <c r="O35" s="145">
        <v>1.3</v>
      </c>
      <c r="P35" s="145">
        <v>1.62</v>
      </c>
      <c r="Q35" s="145">
        <v>1.73</v>
      </c>
      <c r="R35" s="145">
        <v>1.18</v>
      </c>
      <c r="S35" s="145">
        <v>15.21</v>
      </c>
      <c r="T35" s="145">
        <f>SUM(S17:S35)</f>
        <v>461180.66000000003</v>
      </c>
      <c r="U35" s="145"/>
    </row>
    <row r="36" spans="1:21" ht="14.4" x14ac:dyDescent="0.3">
      <c r="A36" s="143"/>
      <c r="B36" s="143"/>
      <c r="C36" s="143"/>
      <c r="D36" s="143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5"/>
      <c r="U36" s="145"/>
    </row>
    <row r="37" spans="1:21" ht="14.4" x14ac:dyDescent="0.3">
      <c r="A37" s="143"/>
      <c r="B37" s="143"/>
      <c r="C37" s="143"/>
      <c r="D37" s="143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5"/>
      <c r="U37" s="145"/>
    </row>
    <row r="38" spans="1:21" ht="14.4" x14ac:dyDescent="0.3">
      <c r="A38" s="143">
        <v>100</v>
      </c>
      <c r="B38" s="143">
        <v>4000</v>
      </c>
      <c r="C38" s="143">
        <v>5200</v>
      </c>
      <c r="D38" s="143">
        <v>310</v>
      </c>
      <c r="E38" s="141" t="s">
        <v>55</v>
      </c>
      <c r="F38" s="141" t="s">
        <v>196</v>
      </c>
      <c r="G38" s="145">
        <v>0</v>
      </c>
      <c r="H38" s="145">
        <v>3359.1</v>
      </c>
      <c r="I38" s="145">
        <v>5490</v>
      </c>
      <c r="J38" s="145">
        <v>2260</v>
      </c>
      <c r="K38" s="145">
        <v>4737.5</v>
      </c>
      <c r="L38" s="145">
        <v>1962.88</v>
      </c>
      <c r="M38" s="145">
        <v>5270</v>
      </c>
      <c r="N38" s="145">
        <v>5063.0200000000004</v>
      </c>
      <c r="O38" s="145">
        <v>3037.5</v>
      </c>
      <c r="P38" s="145">
        <v>1615</v>
      </c>
      <c r="Q38" s="145">
        <v>907.29</v>
      </c>
      <c r="R38" s="145">
        <v>4237.5</v>
      </c>
      <c r="S38" s="145">
        <v>37939.79</v>
      </c>
      <c r="T38" s="145"/>
      <c r="U38" s="145"/>
    </row>
    <row r="39" spans="1:21" ht="14.4" x14ac:dyDescent="0.3">
      <c r="A39" s="143">
        <v>100</v>
      </c>
      <c r="B39" s="143">
        <v>4000</v>
      </c>
      <c r="C39" s="143">
        <v>5200</v>
      </c>
      <c r="D39" s="143">
        <v>315</v>
      </c>
      <c r="E39" s="141" t="s">
        <v>96</v>
      </c>
      <c r="F39" s="141" t="s">
        <v>196</v>
      </c>
      <c r="G39" s="145">
        <v>195.44</v>
      </c>
      <c r="H39" s="145">
        <v>488.67</v>
      </c>
      <c r="I39" s="145">
        <v>3405</v>
      </c>
      <c r="J39" s="145">
        <v>99</v>
      </c>
      <c r="K39" s="145">
        <v>65.7</v>
      </c>
      <c r="L39" s="145">
        <v>3472</v>
      </c>
      <c r="M39" s="145">
        <v>0</v>
      </c>
      <c r="N39" s="145">
        <v>1979.19</v>
      </c>
      <c r="O39" s="145">
        <v>1200</v>
      </c>
      <c r="P39" s="145">
        <v>1040</v>
      </c>
      <c r="Q39" s="145">
        <v>-313.29000000000002</v>
      </c>
      <c r="R39" s="145">
        <v>1556.91</v>
      </c>
      <c r="S39" s="145">
        <v>13188.619999999999</v>
      </c>
      <c r="T39" s="145"/>
      <c r="U39" s="145"/>
    </row>
    <row r="40" spans="1:21" ht="14.4" x14ac:dyDescent="0.3">
      <c r="A40" s="143">
        <v>100</v>
      </c>
      <c r="B40" s="143">
        <v>4000</v>
      </c>
      <c r="C40" s="143">
        <v>5200</v>
      </c>
      <c r="D40" s="143">
        <v>330</v>
      </c>
      <c r="E40" s="141" t="s">
        <v>151</v>
      </c>
      <c r="F40" s="141" t="s">
        <v>196</v>
      </c>
      <c r="G40" s="145">
        <v>1317.17</v>
      </c>
      <c r="H40" s="145">
        <v>5701.44</v>
      </c>
      <c r="I40" s="145">
        <v>24611.1</v>
      </c>
      <c r="J40" s="145">
        <v>7883</v>
      </c>
      <c r="K40" s="145">
        <v>11689.03</v>
      </c>
      <c r="L40" s="145">
        <v>11808.14</v>
      </c>
      <c r="M40" s="145">
        <v>20287.27</v>
      </c>
      <c r="N40" s="145">
        <v>13520.81</v>
      </c>
      <c r="O40" s="145">
        <v>15450.34</v>
      </c>
      <c r="P40" s="145">
        <v>103.17</v>
      </c>
      <c r="Q40" s="145">
        <v>24819.63</v>
      </c>
      <c r="R40" s="145">
        <v>25295.61</v>
      </c>
      <c r="S40" s="145">
        <v>162486.70999999996</v>
      </c>
      <c r="T40" s="145"/>
      <c r="U40" s="145"/>
    </row>
    <row r="41" spans="1:21" ht="14.4" x14ac:dyDescent="0.3">
      <c r="A41" s="143">
        <v>100</v>
      </c>
      <c r="B41" s="143">
        <v>4000</v>
      </c>
      <c r="C41" s="143">
        <v>5200</v>
      </c>
      <c r="D41" s="143">
        <v>390</v>
      </c>
      <c r="E41" s="141" t="s">
        <v>98</v>
      </c>
      <c r="F41" s="141" t="s">
        <v>196</v>
      </c>
      <c r="G41" s="145">
        <v>219.27</v>
      </c>
      <c r="H41" s="145">
        <v>386.53</v>
      </c>
      <c r="I41" s="145">
        <v>192.53</v>
      </c>
      <c r="J41" s="145">
        <v>542.86</v>
      </c>
      <c r="K41" s="145">
        <v>535.57000000000005</v>
      </c>
      <c r="L41" s="145">
        <v>235.11</v>
      </c>
      <c r="M41" s="145">
        <v>200.83</v>
      </c>
      <c r="N41" s="145">
        <v>222.61</v>
      </c>
      <c r="O41" s="145">
        <v>219.48</v>
      </c>
      <c r="P41" s="145">
        <v>165.59</v>
      </c>
      <c r="Q41" s="145">
        <v>348.35</v>
      </c>
      <c r="R41" s="145">
        <v>165.59</v>
      </c>
      <c r="S41" s="145">
        <v>3434.3200000000006</v>
      </c>
      <c r="T41" s="145"/>
      <c r="U41" s="145"/>
    </row>
    <row r="42" spans="1:21" ht="14.4" x14ac:dyDescent="0.3">
      <c r="A42" s="143">
        <v>100</v>
      </c>
      <c r="B42" s="143">
        <v>4000</v>
      </c>
      <c r="C42" s="143">
        <v>5200</v>
      </c>
      <c r="D42" s="143">
        <v>510</v>
      </c>
      <c r="E42" s="141" t="s">
        <v>99</v>
      </c>
      <c r="F42" s="141" t="s">
        <v>196</v>
      </c>
      <c r="G42" s="145">
        <v>2067.09</v>
      </c>
      <c r="H42" s="145">
        <v>1027.79</v>
      </c>
      <c r="I42" s="145">
        <v>3732.48</v>
      </c>
      <c r="J42" s="145">
        <v>2496.27</v>
      </c>
      <c r="K42" s="145">
        <v>5261.95</v>
      </c>
      <c r="L42" s="145">
        <v>10762.22</v>
      </c>
      <c r="M42" s="145">
        <v>1120.8900000000001</v>
      </c>
      <c r="N42" s="145">
        <v>1609.51</v>
      </c>
      <c r="O42" s="145">
        <v>7357.48</v>
      </c>
      <c r="P42" s="145">
        <v>211.02</v>
      </c>
      <c r="Q42" s="145">
        <v>10495.44</v>
      </c>
      <c r="R42" s="145">
        <v>7577.12</v>
      </c>
      <c r="S42" s="145">
        <v>53719.26</v>
      </c>
      <c r="T42" s="145"/>
      <c r="U42" s="145"/>
    </row>
    <row r="43" spans="1:21" ht="14.4" x14ac:dyDescent="0.3">
      <c r="A43" s="143">
        <v>100</v>
      </c>
      <c r="B43" s="143">
        <v>4000</v>
      </c>
      <c r="C43" s="143">
        <v>5200</v>
      </c>
      <c r="D43" s="143">
        <v>642</v>
      </c>
      <c r="E43" s="141" t="s">
        <v>144</v>
      </c>
      <c r="F43" s="141" t="s">
        <v>196</v>
      </c>
      <c r="G43" s="145">
        <v>1187.67</v>
      </c>
      <c r="H43" s="145">
        <v>53.49</v>
      </c>
      <c r="I43" s="145">
        <v>194.32</v>
      </c>
      <c r="J43" s="145">
        <v>0</v>
      </c>
      <c r="K43" s="145">
        <v>0</v>
      </c>
      <c r="L43" s="145">
        <v>144.43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1579.91</v>
      </c>
      <c r="T43" s="145"/>
      <c r="U43" s="145"/>
    </row>
    <row r="44" spans="1:21" ht="14.4" x14ac:dyDescent="0.3">
      <c r="A44" s="143">
        <v>100</v>
      </c>
      <c r="B44" s="143">
        <v>4000</v>
      </c>
      <c r="C44" s="143">
        <v>6130</v>
      </c>
      <c r="D44" s="143">
        <v>310</v>
      </c>
      <c r="E44" s="141" t="s">
        <v>55</v>
      </c>
      <c r="F44" s="141" t="s">
        <v>196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200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200</v>
      </c>
      <c r="S44" s="145">
        <v>400</v>
      </c>
      <c r="T44" s="145"/>
      <c r="U44" s="145"/>
    </row>
    <row r="45" spans="1:21" ht="14.4" x14ac:dyDescent="0.3">
      <c r="A45" s="143">
        <v>100</v>
      </c>
      <c r="B45" s="143">
        <v>4000</v>
      </c>
      <c r="C45" s="143">
        <v>6500</v>
      </c>
      <c r="D45" s="143">
        <v>310</v>
      </c>
      <c r="E45" s="141" t="s">
        <v>101</v>
      </c>
      <c r="F45" s="141" t="s">
        <v>196</v>
      </c>
      <c r="G45" s="145">
        <v>0</v>
      </c>
      <c r="H45" s="145">
        <v>0</v>
      </c>
      <c r="I45" s="145">
        <v>0</v>
      </c>
      <c r="J45" s="145">
        <v>0</v>
      </c>
      <c r="K45" s="145">
        <v>149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149</v>
      </c>
      <c r="T45" s="145"/>
      <c r="U45" s="145"/>
    </row>
    <row r="46" spans="1:21" ht="14.4" x14ac:dyDescent="0.3">
      <c r="A46" s="143">
        <v>100</v>
      </c>
      <c r="B46" s="143">
        <v>4000</v>
      </c>
      <c r="C46" s="143">
        <v>7100</v>
      </c>
      <c r="D46" s="143">
        <v>310</v>
      </c>
      <c r="E46" s="141" t="s">
        <v>102</v>
      </c>
      <c r="F46" s="141" t="s">
        <v>196</v>
      </c>
      <c r="G46" s="145">
        <v>0</v>
      </c>
      <c r="H46" s="145">
        <v>0</v>
      </c>
      <c r="I46" s="145">
        <v>8000</v>
      </c>
      <c r="J46" s="145">
        <v>0</v>
      </c>
      <c r="K46" s="145">
        <v>0</v>
      </c>
      <c r="L46" s="145">
        <v>500</v>
      </c>
      <c r="M46" s="145">
        <v>0</v>
      </c>
      <c r="N46" s="145">
        <v>0</v>
      </c>
      <c r="O46" s="145">
        <v>0</v>
      </c>
      <c r="P46" s="145">
        <v>0</v>
      </c>
      <c r="Q46" s="145">
        <v>1872.5</v>
      </c>
      <c r="R46" s="145">
        <v>0</v>
      </c>
      <c r="S46" s="145">
        <v>10372.5</v>
      </c>
      <c r="T46" s="145"/>
      <c r="U46" s="145"/>
    </row>
    <row r="47" spans="1:21" ht="14.4" x14ac:dyDescent="0.3">
      <c r="A47" s="143">
        <v>100</v>
      </c>
      <c r="B47" s="143">
        <v>4000</v>
      </c>
      <c r="C47" s="143">
        <v>7100</v>
      </c>
      <c r="D47" s="143">
        <v>320</v>
      </c>
      <c r="E47" s="141" t="s">
        <v>143</v>
      </c>
      <c r="F47" s="141" t="s">
        <v>196</v>
      </c>
      <c r="G47" s="145">
        <v>0</v>
      </c>
      <c r="H47" s="145">
        <v>3750.5</v>
      </c>
      <c r="I47" s="145">
        <v>1253.1400000000001</v>
      </c>
      <c r="J47" s="145">
        <v>1253.17</v>
      </c>
      <c r="K47" s="145">
        <v>0</v>
      </c>
      <c r="L47" s="145">
        <v>1253.17</v>
      </c>
      <c r="M47" s="145">
        <v>1253.17</v>
      </c>
      <c r="N47" s="145">
        <v>1519.92</v>
      </c>
      <c r="O47" s="145">
        <v>0</v>
      </c>
      <c r="P47" s="145">
        <v>0</v>
      </c>
      <c r="Q47" s="145">
        <v>4559.76</v>
      </c>
      <c r="R47" s="145">
        <v>0</v>
      </c>
      <c r="S47" s="145">
        <v>14842.830000000002</v>
      </c>
      <c r="T47" s="145"/>
      <c r="U47" s="145"/>
    </row>
    <row r="48" spans="1:21" ht="14.4" x14ac:dyDescent="0.3">
      <c r="A48" s="143">
        <v>100</v>
      </c>
      <c r="B48" s="143">
        <v>4000</v>
      </c>
      <c r="C48" s="143">
        <v>7100</v>
      </c>
      <c r="D48" s="143">
        <v>330</v>
      </c>
      <c r="E48" s="141" t="s">
        <v>104</v>
      </c>
      <c r="F48" s="141" t="s">
        <v>196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397.25</v>
      </c>
      <c r="M48" s="145"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v>0</v>
      </c>
      <c r="S48" s="145">
        <v>397.25</v>
      </c>
      <c r="T48" s="145"/>
      <c r="U48" s="145"/>
    </row>
    <row r="49" spans="1:21" ht="14.4" x14ac:dyDescent="0.3">
      <c r="A49" s="143">
        <v>100</v>
      </c>
      <c r="B49" s="143">
        <v>4000</v>
      </c>
      <c r="C49" s="143">
        <v>7100</v>
      </c>
      <c r="D49" s="143">
        <v>730</v>
      </c>
      <c r="E49" s="141" t="s">
        <v>103</v>
      </c>
      <c r="F49" s="141" t="s">
        <v>196</v>
      </c>
      <c r="G49" s="145">
        <v>1399.25</v>
      </c>
      <c r="H49" s="145">
        <v>803.25</v>
      </c>
      <c r="I49" s="145">
        <v>732.25</v>
      </c>
      <c r="J49" s="145">
        <v>1109.33</v>
      </c>
      <c r="K49" s="145">
        <v>777.25</v>
      </c>
      <c r="L49" s="145">
        <v>1057.25</v>
      </c>
      <c r="M49" s="145">
        <v>1315.66</v>
      </c>
      <c r="N49" s="145">
        <v>1362.51</v>
      </c>
      <c r="O49" s="145">
        <v>1333.5</v>
      </c>
      <c r="P49" s="145">
        <v>902.25</v>
      </c>
      <c r="Q49" s="145">
        <v>1510.33</v>
      </c>
      <c r="R49" s="145">
        <v>1710.23</v>
      </c>
      <c r="S49" s="145">
        <v>14013.06</v>
      </c>
      <c r="T49" s="145"/>
      <c r="U49" s="145"/>
    </row>
    <row r="50" spans="1:21" ht="14.4" x14ac:dyDescent="0.3">
      <c r="A50" s="143">
        <v>100</v>
      </c>
      <c r="B50" s="143">
        <v>4000</v>
      </c>
      <c r="C50" s="143">
        <v>7100</v>
      </c>
      <c r="D50" s="143">
        <v>790</v>
      </c>
      <c r="E50" s="141" t="s">
        <v>56</v>
      </c>
      <c r="F50" s="141" t="s">
        <v>196</v>
      </c>
      <c r="G50" s="145">
        <v>1745.65</v>
      </c>
      <c r="H50" s="145">
        <v>1745.01</v>
      </c>
      <c r="I50" s="145">
        <v>1745.75</v>
      </c>
      <c r="J50" s="145">
        <v>1745.75</v>
      </c>
      <c r="K50" s="145">
        <v>1745.75</v>
      </c>
      <c r="L50" s="145">
        <v>1745.75</v>
      </c>
      <c r="M50" s="145">
        <v>1745.75</v>
      </c>
      <c r="N50" s="145">
        <v>1745.75</v>
      </c>
      <c r="O50" s="145">
        <v>1745.75</v>
      </c>
      <c r="P50" s="145">
        <v>1745.75</v>
      </c>
      <c r="Q50" s="145">
        <v>1745.75</v>
      </c>
      <c r="R50" s="145">
        <v>1285.55</v>
      </c>
      <c r="S50" s="145">
        <v>20487.96</v>
      </c>
      <c r="T50" s="145"/>
      <c r="U50" s="145"/>
    </row>
    <row r="51" spans="1:21" ht="14.4" x14ac:dyDescent="0.3">
      <c r="A51" s="143">
        <v>100</v>
      </c>
      <c r="B51" s="143">
        <v>4000</v>
      </c>
      <c r="C51" s="143">
        <v>7300</v>
      </c>
      <c r="D51" s="143">
        <v>330</v>
      </c>
      <c r="E51" s="141" t="s">
        <v>104</v>
      </c>
      <c r="F51" s="141" t="s">
        <v>196</v>
      </c>
      <c r="G51" s="145">
        <v>8.5</v>
      </c>
      <c r="H51" s="145">
        <v>0</v>
      </c>
      <c r="I51" s="145">
        <v>0</v>
      </c>
      <c r="J51" s="145">
        <v>0</v>
      </c>
      <c r="K51" s="145">
        <v>87.47</v>
      </c>
      <c r="L51" s="145">
        <v>440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5">
        <v>4300.05</v>
      </c>
      <c r="S51" s="145">
        <v>4836.0200000000004</v>
      </c>
      <c r="T51" s="145"/>
      <c r="U51" s="145"/>
    </row>
    <row r="52" spans="1:21" ht="14.4" x14ac:dyDescent="0.3">
      <c r="A52" s="143">
        <v>100</v>
      </c>
      <c r="B52" s="143">
        <v>4000</v>
      </c>
      <c r="C52" s="143">
        <v>7300</v>
      </c>
      <c r="D52" s="143">
        <v>370</v>
      </c>
      <c r="E52" s="141" t="s">
        <v>105</v>
      </c>
      <c r="F52" s="141" t="s">
        <v>196</v>
      </c>
      <c r="G52" s="145">
        <v>0</v>
      </c>
      <c r="H52" s="145">
        <v>57.2</v>
      </c>
      <c r="I52" s="145">
        <v>7.76</v>
      </c>
      <c r="J52" s="145">
        <v>40.5</v>
      </c>
      <c r="K52" s="145">
        <v>49</v>
      </c>
      <c r="L52" s="145">
        <v>169.47</v>
      </c>
      <c r="M52" s="145">
        <v>102.32</v>
      </c>
      <c r="N52" s="145">
        <v>47.66</v>
      </c>
      <c r="O52" s="145">
        <v>209.32</v>
      </c>
      <c r="P52" s="145">
        <v>0</v>
      </c>
      <c r="Q52" s="145">
        <v>425.14</v>
      </c>
      <c r="R52" s="145">
        <v>0</v>
      </c>
      <c r="S52" s="145">
        <v>1108.3699999999999</v>
      </c>
      <c r="T52" s="145"/>
      <c r="U52" s="145"/>
    </row>
    <row r="53" spans="1:21" ht="14.4" x14ac:dyDescent="0.3">
      <c r="A53" s="143">
        <v>100</v>
      </c>
      <c r="B53" s="143">
        <v>4000</v>
      </c>
      <c r="C53" s="143">
        <v>7300</v>
      </c>
      <c r="D53" s="143">
        <v>390</v>
      </c>
      <c r="E53" s="141" t="s">
        <v>106</v>
      </c>
      <c r="F53" s="141" t="s">
        <v>196</v>
      </c>
      <c r="G53" s="145">
        <v>0</v>
      </c>
      <c r="H53" s="145">
        <v>0</v>
      </c>
      <c r="I53" s="145">
        <v>0</v>
      </c>
      <c r="J53" s="145">
        <v>0</v>
      </c>
      <c r="K53" s="145">
        <v>128</v>
      </c>
      <c r="L53" s="145">
        <v>128</v>
      </c>
      <c r="M53" s="145">
        <v>0</v>
      </c>
      <c r="N53" s="145">
        <v>0</v>
      </c>
      <c r="O53" s="145">
        <v>228</v>
      </c>
      <c r="P53" s="145">
        <v>0</v>
      </c>
      <c r="Q53" s="145">
        <v>1152.8</v>
      </c>
      <c r="R53" s="145">
        <v>24.78</v>
      </c>
      <c r="S53" s="145">
        <v>1661.58</v>
      </c>
      <c r="T53" s="145"/>
      <c r="U53" s="145"/>
    </row>
    <row r="54" spans="1:21" ht="14.4" x14ac:dyDescent="0.3">
      <c r="A54" s="143">
        <v>100</v>
      </c>
      <c r="B54" s="143">
        <v>4000</v>
      </c>
      <c r="C54" s="143">
        <v>7300</v>
      </c>
      <c r="D54" s="143">
        <v>510</v>
      </c>
      <c r="E54" s="141" t="s">
        <v>107</v>
      </c>
      <c r="F54" s="141" t="s">
        <v>196</v>
      </c>
      <c r="G54" s="145">
        <v>671.31</v>
      </c>
      <c r="H54" s="145">
        <v>2211.7800000000002</v>
      </c>
      <c r="I54" s="145">
        <v>3497.56</v>
      </c>
      <c r="J54" s="145">
        <v>902.07</v>
      </c>
      <c r="K54" s="145">
        <v>2880.09</v>
      </c>
      <c r="L54" s="145">
        <v>1081.8</v>
      </c>
      <c r="M54" s="145">
        <v>3364.84</v>
      </c>
      <c r="N54" s="145">
        <v>124.05</v>
      </c>
      <c r="O54" s="145">
        <v>338.95</v>
      </c>
      <c r="P54" s="145">
        <v>0</v>
      </c>
      <c r="Q54" s="145">
        <v>1108.5</v>
      </c>
      <c r="R54" s="145">
        <v>0</v>
      </c>
      <c r="S54" s="145">
        <v>16180.949999999999</v>
      </c>
      <c r="T54" s="145"/>
      <c r="U54" s="145"/>
    </row>
    <row r="55" spans="1:21" ht="14.4" x14ac:dyDescent="0.3">
      <c r="A55" s="143">
        <v>100</v>
      </c>
      <c r="B55" s="143">
        <v>4000</v>
      </c>
      <c r="C55" s="143">
        <v>7300</v>
      </c>
      <c r="D55" s="143">
        <v>642</v>
      </c>
      <c r="E55" s="141" t="s">
        <v>189</v>
      </c>
      <c r="F55" s="141" t="s">
        <v>196</v>
      </c>
      <c r="G55" s="145">
        <v>0</v>
      </c>
      <c r="H55" s="145">
        <v>0</v>
      </c>
      <c r="I55" s="145">
        <v>96.29</v>
      </c>
      <c r="J55" s="145">
        <v>104.64</v>
      </c>
      <c r="K55" s="145">
        <v>0</v>
      </c>
      <c r="L55" s="145">
        <v>399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145">
        <v>599.93000000000006</v>
      </c>
      <c r="T55" s="145"/>
      <c r="U55" s="145"/>
    </row>
    <row r="56" spans="1:21" ht="14.4" x14ac:dyDescent="0.3">
      <c r="A56" s="143">
        <v>100</v>
      </c>
      <c r="B56" s="143">
        <v>4000</v>
      </c>
      <c r="C56" s="143">
        <v>7300</v>
      </c>
      <c r="D56" s="143">
        <v>643</v>
      </c>
      <c r="E56" s="141" t="s">
        <v>100</v>
      </c>
      <c r="F56" s="141" t="s">
        <v>196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1011.78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1011.78</v>
      </c>
      <c r="T56" s="145"/>
      <c r="U56" s="145"/>
    </row>
    <row r="57" spans="1:21" ht="14.4" x14ac:dyDescent="0.3">
      <c r="A57" s="143">
        <v>100</v>
      </c>
      <c r="B57" s="143">
        <v>4000</v>
      </c>
      <c r="C57" s="143">
        <v>7400</v>
      </c>
      <c r="D57" s="143">
        <v>360</v>
      </c>
      <c r="E57" s="141" t="s">
        <v>130</v>
      </c>
      <c r="F57" s="141" t="s">
        <v>196</v>
      </c>
      <c r="G57" s="145">
        <v>0</v>
      </c>
      <c r="H57" s="145">
        <v>1750</v>
      </c>
      <c r="I57" s="145">
        <v>0</v>
      </c>
      <c r="J57" s="145">
        <v>1750</v>
      </c>
      <c r="K57" s="145">
        <v>1750</v>
      </c>
      <c r="L57" s="145">
        <v>1750</v>
      </c>
      <c r="M57" s="145">
        <v>-7000</v>
      </c>
      <c r="N57" s="145">
        <v>273</v>
      </c>
      <c r="O57" s="145">
        <v>1655</v>
      </c>
      <c r="P57" s="145">
        <v>-95</v>
      </c>
      <c r="Q57" s="145">
        <v>-1833</v>
      </c>
      <c r="R57" s="145">
        <v>3406</v>
      </c>
      <c r="S57" s="145">
        <v>3406</v>
      </c>
      <c r="T57" s="145"/>
      <c r="U57" s="145"/>
    </row>
    <row r="58" spans="1:21" ht="14.4" x14ac:dyDescent="0.3">
      <c r="A58" s="143">
        <v>360</v>
      </c>
      <c r="B58" s="143">
        <v>4000</v>
      </c>
      <c r="C58" s="143">
        <v>7400</v>
      </c>
      <c r="D58" s="143">
        <v>360</v>
      </c>
      <c r="E58" s="141" t="s">
        <v>130</v>
      </c>
      <c r="F58" s="141" t="s">
        <v>196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8750</v>
      </c>
      <c r="N58" s="145">
        <v>1477</v>
      </c>
      <c r="O58" s="145">
        <v>1845</v>
      </c>
      <c r="P58" s="145">
        <v>1845</v>
      </c>
      <c r="Q58" s="145">
        <v>1833</v>
      </c>
      <c r="R58" s="145">
        <v>1844</v>
      </c>
      <c r="S58" s="145">
        <v>17594</v>
      </c>
      <c r="T58" s="145"/>
      <c r="U58" s="145"/>
    </row>
    <row r="59" spans="1:21" ht="14.4" x14ac:dyDescent="0.3">
      <c r="A59" s="143">
        <v>100</v>
      </c>
      <c r="B59" s="143">
        <v>4000</v>
      </c>
      <c r="C59" s="143">
        <v>7500</v>
      </c>
      <c r="D59" s="143">
        <v>310</v>
      </c>
      <c r="E59" s="141" t="s">
        <v>109</v>
      </c>
      <c r="F59" s="141" t="s">
        <v>196</v>
      </c>
      <c r="G59" s="145">
        <v>1719.45</v>
      </c>
      <c r="H59" s="145">
        <v>1860.78</v>
      </c>
      <c r="I59" s="145">
        <v>1847.04</v>
      </c>
      <c r="J59" s="145">
        <v>1733.13</v>
      </c>
      <c r="K59" s="145">
        <v>1790.07</v>
      </c>
      <c r="L59" s="145">
        <v>1783.75</v>
      </c>
      <c r="M59" s="145">
        <v>1790.07</v>
      </c>
      <c r="N59" s="145">
        <v>1200.06</v>
      </c>
      <c r="O59" s="145">
        <v>1716.36</v>
      </c>
      <c r="P59" s="145">
        <v>2118.63</v>
      </c>
      <c r="Q59" s="145">
        <v>1756.56</v>
      </c>
      <c r="R59" s="145">
        <v>1750.35</v>
      </c>
      <c r="S59" s="145">
        <v>21066.25</v>
      </c>
      <c r="T59" s="145"/>
      <c r="U59" s="145"/>
    </row>
    <row r="60" spans="1:21" ht="14.4" x14ac:dyDescent="0.3">
      <c r="A60" s="143">
        <v>100</v>
      </c>
      <c r="B60" s="143">
        <v>4000</v>
      </c>
      <c r="C60" s="143">
        <v>7500</v>
      </c>
      <c r="D60" s="143">
        <v>311</v>
      </c>
      <c r="E60" s="141" t="s">
        <v>110</v>
      </c>
      <c r="F60" s="141" t="s">
        <v>196</v>
      </c>
      <c r="G60" s="145">
        <v>0</v>
      </c>
      <c r="H60" s="145">
        <v>0</v>
      </c>
      <c r="I60" s="145">
        <v>1161.04</v>
      </c>
      <c r="J60" s="145">
        <v>0</v>
      </c>
      <c r="K60" s="145">
        <v>0</v>
      </c>
      <c r="L60" s="145">
        <v>1300.6300000000001</v>
      </c>
      <c r="M60" s="145">
        <v>0</v>
      </c>
      <c r="N60" s="145">
        <v>0</v>
      </c>
      <c r="O60" s="145">
        <v>1311.59</v>
      </c>
      <c r="P60" s="145">
        <v>0</v>
      </c>
      <c r="Q60" s="145">
        <v>0</v>
      </c>
      <c r="R60" s="145">
        <v>1498.28</v>
      </c>
      <c r="S60" s="145">
        <v>5271.54</v>
      </c>
      <c r="T60" s="145"/>
      <c r="U60" s="145"/>
    </row>
    <row r="61" spans="1:21" ht="14.4" x14ac:dyDescent="0.3">
      <c r="A61" s="143">
        <v>100</v>
      </c>
      <c r="B61" s="143">
        <v>4000</v>
      </c>
      <c r="C61" s="143">
        <v>7800</v>
      </c>
      <c r="D61" s="143">
        <v>350</v>
      </c>
      <c r="E61" s="141" t="s">
        <v>142</v>
      </c>
      <c r="F61" s="141" t="s">
        <v>196</v>
      </c>
      <c r="G61" s="145">
        <v>0</v>
      </c>
      <c r="H61" s="145">
        <v>0</v>
      </c>
      <c r="I61" s="145">
        <v>1820</v>
      </c>
      <c r="J61" s="145">
        <v>0</v>
      </c>
      <c r="K61" s="145">
        <v>2060</v>
      </c>
      <c r="L61" s="145">
        <v>6915</v>
      </c>
      <c r="M61" s="145">
        <v>975</v>
      </c>
      <c r="N61" s="145">
        <v>845</v>
      </c>
      <c r="O61" s="145">
        <v>0</v>
      </c>
      <c r="P61" s="145">
        <v>1035</v>
      </c>
      <c r="Q61" s="145">
        <v>0</v>
      </c>
      <c r="R61" s="145">
        <v>1000</v>
      </c>
      <c r="S61" s="145">
        <v>14650</v>
      </c>
      <c r="T61" s="145"/>
      <c r="U61" s="145"/>
    </row>
    <row r="62" spans="1:21" ht="14.4" x14ac:dyDescent="0.3">
      <c r="A62" s="143">
        <v>100</v>
      </c>
      <c r="B62" s="143">
        <v>4000</v>
      </c>
      <c r="C62" s="143">
        <v>7800</v>
      </c>
      <c r="D62" s="143">
        <v>550</v>
      </c>
      <c r="E62" s="141" t="s">
        <v>150</v>
      </c>
      <c r="F62" s="141" t="s">
        <v>196</v>
      </c>
      <c r="G62" s="145">
        <v>115.69</v>
      </c>
      <c r="H62" s="145">
        <v>27.81</v>
      </c>
      <c r="I62" s="145">
        <v>1452.04</v>
      </c>
      <c r="J62" s="145">
        <v>155.29</v>
      </c>
      <c r="K62" s="145">
        <v>0</v>
      </c>
      <c r="L62" s="145">
        <v>19.29</v>
      </c>
      <c r="M62" s="145">
        <v>0</v>
      </c>
      <c r="N62" s="145">
        <v>0</v>
      </c>
      <c r="O62" s="145">
        <v>0</v>
      </c>
      <c r="P62" s="145">
        <v>0</v>
      </c>
      <c r="Q62" s="145">
        <v>2151.44</v>
      </c>
      <c r="R62" s="145">
        <v>4154</v>
      </c>
      <c r="S62" s="145">
        <v>8075.5599999999995</v>
      </c>
      <c r="T62" s="145"/>
      <c r="U62" s="145"/>
    </row>
    <row r="63" spans="1:21" ht="14.4" x14ac:dyDescent="0.3">
      <c r="A63" s="143">
        <v>100</v>
      </c>
      <c r="B63" s="143">
        <v>4000</v>
      </c>
      <c r="C63" s="143">
        <v>7800</v>
      </c>
      <c r="D63" s="143">
        <v>640</v>
      </c>
      <c r="E63" s="141" t="s">
        <v>190</v>
      </c>
      <c r="F63" s="141" t="s">
        <v>196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16883.599999999999</v>
      </c>
      <c r="N63" s="145">
        <v>-1845</v>
      </c>
      <c r="O63" s="145">
        <v>0</v>
      </c>
      <c r="P63" s="145">
        <v>0</v>
      </c>
      <c r="Q63" s="145">
        <v>-12</v>
      </c>
      <c r="R63" s="145">
        <v>0</v>
      </c>
      <c r="S63" s="145">
        <v>15026.599999999999</v>
      </c>
      <c r="T63" s="145"/>
      <c r="U63" s="145"/>
    </row>
    <row r="64" spans="1:21" ht="14.4" x14ac:dyDescent="0.3">
      <c r="A64" s="143">
        <v>360</v>
      </c>
      <c r="B64" s="143">
        <v>4000</v>
      </c>
      <c r="C64" s="143">
        <v>7800</v>
      </c>
      <c r="D64" s="143">
        <v>640</v>
      </c>
      <c r="E64" s="141" t="s">
        <v>190</v>
      </c>
      <c r="F64" s="141" t="s">
        <v>196</v>
      </c>
      <c r="G64" s="145">
        <v>0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v>3461</v>
      </c>
      <c r="N64" s="145">
        <v>1845</v>
      </c>
      <c r="O64" s="145">
        <v>0</v>
      </c>
      <c r="P64" s="145">
        <v>0</v>
      </c>
      <c r="Q64" s="145">
        <v>12</v>
      </c>
      <c r="R64" s="145">
        <v>0</v>
      </c>
      <c r="S64" s="145">
        <v>5318</v>
      </c>
      <c r="T64" s="145"/>
      <c r="U64" s="145"/>
    </row>
    <row r="65" spans="1:21" ht="14.4" x14ac:dyDescent="0.3">
      <c r="A65" s="143">
        <v>100</v>
      </c>
      <c r="B65" s="143">
        <v>4000</v>
      </c>
      <c r="C65" s="143">
        <v>7900</v>
      </c>
      <c r="D65" s="143">
        <v>320</v>
      </c>
      <c r="E65" s="141" t="s">
        <v>111</v>
      </c>
      <c r="F65" s="141" t="s">
        <v>196</v>
      </c>
      <c r="G65" s="145">
        <v>0</v>
      </c>
      <c r="H65" s="145">
        <v>0</v>
      </c>
      <c r="I65" s="145">
        <v>0</v>
      </c>
      <c r="J65" s="145">
        <v>1480</v>
      </c>
      <c r="K65" s="145">
        <v>0</v>
      </c>
      <c r="L65" s="145">
        <v>0</v>
      </c>
      <c r="M65" s="145">
        <v>0</v>
      </c>
      <c r="N65" s="145">
        <v>0</v>
      </c>
      <c r="O65" s="145">
        <v>0</v>
      </c>
      <c r="P65" s="145">
        <v>0</v>
      </c>
      <c r="Q65" s="145">
        <v>0</v>
      </c>
      <c r="R65" s="145">
        <v>0</v>
      </c>
      <c r="S65" s="145">
        <v>1480</v>
      </c>
      <c r="T65" s="145"/>
      <c r="U65" s="145"/>
    </row>
    <row r="66" spans="1:21" ht="14.4" x14ac:dyDescent="0.3">
      <c r="A66" s="143">
        <v>100</v>
      </c>
      <c r="B66" s="143">
        <v>4000</v>
      </c>
      <c r="C66" s="143">
        <v>7900</v>
      </c>
      <c r="D66" s="143">
        <v>360</v>
      </c>
      <c r="E66" s="141" t="s">
        <v>149</v>
      </c>
      <c r="F66" s="141" t="s">
        <v>196</v>
      </c>
      <c r="G66" s="145">
        <v>0</v>
      </c>
      <c r="H66" s="145">
        <v>0</v>
      </c>
      <c r="I66" s="145">
        <v>0</v>
      </c>
      <c r="J66" s="145">
        <v>0</v>
      </c>
      <c r="K66" s="145">
        <v>0</v>
      </c>
      <c r="L66" s="145">
        <v>810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715</v>
      </c>
      <c r="S66" s="145">
        <v>1525</v>
      </c>
      <c r="T66" s="145"/>
      <c r="U66" s="145"/>
    </row>
    <row r="67" spans="1:21" ht="14.4" x14ac:dyDescent="0.3">
      <c r="A67" s="143">
        <v>100</v>
      </c>
      <c r="B67" s="143">
        <v>4000</v>
      </c>
      <c r="C67" s="143">
        <v>7900</v>
      </c>
      <c r="D67" s="143">
        <v>370</v>
      </c>
      <c r="E67" s="141" t="s">
        <v>112</v>
      </c>
      <c r="F67" s="141" t="s">
        <v>196</v>
      </c>
      <c r="G67" s="145">
        <v>312.58999999999997</v>
      </c>
      <c r="H67" s="145">
        <v>312.5</v>
      </c>
      <c r="I67" s="145">
        <v>328.5</v>
      </c>
      <c r="J67" s="145">
        <v>328.5</v>
      </c>
      <c r="K67" s="145">
        <v>329.06</v>
      </c>
      <c r="L67" s="145">
        <v>329.06</v>
      </c>
      <c r="M67" s="145">
        <v>0</v>
      </c>
      <c r="N67" s="145">
        <v>668.42</v>
      </c>
      <c r="O67" s="145">
        <v>362.2</v>
      </c>
      <c r="P67" s="145">
        <v>0</v>
      </c>
      <c r="Q67" s="145">
        <v>658.31</v>
      </c>
      <c r="R67" s="145">
        <v>328.95</v>
      </c>
      <c r="S67" s="145">
        <v>3958.0899999999992</v>
      </c>
      <c r="T67" s="145"/>
      <c r="U67" s="145"/>
    </row>
    <row r="68" spans="1:21" ht="14.4" x14ac:dyDescent="0.3">
      <c r="A68" s="143">
        <v>100</v>
      </c>
      <c r="B68" s="143">
        <v>4000</v>
      </c>
      <c r="C68" s="143">
        <v>7900</v>
      </c>
      <c r="D68" s="143">
        <v>380</v>
      </c>
      <c r="E68" s="141" t="s">
        <v>113</v>
      </c>
      <c r="F68" s="141" t="s">
        <v>196</v>
      </c>
      <c r="G68" s="145">
        <v>0</v>
      </c>
      <c r="H68" s="145">
        <v>213.3</v>
      </c>
      <c r="I68" s="145">
        <v>0</v>
      </c>
      <c r="J68" s="145">
        <v>134.1</v>
      </c>
      <c r="K68" s="145">
        <v>214</v>
      </c>
      <c r="L68" s="145">
        <v>319.27999999999997</v>
      </c>
      <c r="M68" s="145">
        <v>221.26</v>
      </c>
      <c r="N68" s="145">
        <v>0</v>
      </c>
      <c r="O68" s="145">
        <v>230.68</v>
      </c>
      <c r="P68" s="145">
        <v>0</v>
      </c>
      <c r="Q68" s="145">
        <v>0</v>
      </c>
      <c r="R68" s="145">
        <v>555.55999999999995</v>
      </c>
      <c r="S68" s="145">
        <v>1888.18</v>
      </c>
      <c r="T68" s="145"/>
      <c r="U68" s="145"/>
    </row>
    <row r="69" spans="1:21" ht="14.4" x14ac:dyDescent="0.3">
      <c r="A69" s="143">
        <v>100</v>
      </c>
      <c r="B69" s="143">
        <v>4000</v>
      </c>
      <c r="C69" s="143">
        <v>7900</v>
      </c>
      <c r="D69" s="143">
        <v>390</v>
      </c>
      <c r="E69" s="141" t="s">
        <v>114</v>
      </c>
      <c r="F69" s="141" t="s">
        <v>196</v>
      </c>
      <c r="G69" s="145">
        <v>57</v>
      </c>
      <c r="H69" s="145">
        <v>185.7</v>
      </c>
      <c r="I69" s="145">
        <v>0</v>
      </c>
      <c r="J69" s="145">
        <v>114</v>
      </c>
      <c r="K69" s="145">
        <v>0</v>
      </c>
      <c r="L69" s="145">
        <v>3392.7</v>
      </c>
      <c r="M69" s="145">
        <v>57</v>
      </c>
      <c r="N69" s="145">
        <v>57</v>
      </c>
      <c r="O69" s="145">
        <v>242.7</v>
      </c>
      <c r="P69" s="145">
        <v>0</v>
      </c>
      <c r="Q69" s="145">
        <v>1196</v>
      </c>
      <c r="R69" s="145">
        <v>60</v>
      </c>
      <c r="S69" s="145">
        <v>5362.0999999999995</v>
      </c>
      <c r="T69" s="145"/>
      <c r="U69" s="145"/>
    </row>
    <row r="70" spans="1:21" ht="14.4" x14ac:dyDescent="0.3">
      <c r="A70" s="143">
        <v>100</v>
      </c>
      <c r="B70" s="143">
        <v>4000</v>
      </c>
      <c r="C70" s="143">
        <v>7900</v>
      </c>
      <c r="D70" s="143">
        <v>430</v>
      </c>
      <c r="E70" s="141" t="s">
        <v>115</v>
      </c>
      <c r="F70" s="141" t="s">
        <v>196</v>
      </c>
      <c r="G70" s="145">
        <v>352.92</v>
      </c>
      <c r="H70" s="145">
        <v>652.59</v>
      </c>
      <c r="I70" s="145">
        <v>711.35</v>
      </c>
      <c r="J70" s="145">
        <v>686.49</v>
      </c>
      <c r="K70" s="145">
        <v>524.26</v>
      </c>
      <c r="L70" s="145">
        <v>406.26</v>
      </c>
      <c r="M70" s="145">
        <v>526.38</v>
      </c>
      <c r="N70" s="145">
        <v>743.08</v>
      </c>
      <c r="O70" s="145">
        <v>664.92</v>
      </c>
      <c r="P70" s="145">
        <v>562.86</v>
      </c>
      <c r="Q70" s="145">
        <v>393.28</v>
      </c>
      <c r="R70" s="145">
        <v>635.05999999999995</v>
      </c>
      <c r="S70" s="145">
        <v>6859.4500000000007</v>
      </c>
      <c r="T70" s="145"/>
      <c r="U70" s="145"/>
    </row>
    <row r="71" spans="1:21" ht="14.4" x14ac:dyDescent="0.3">
      <c r="A71" s="143">
        <v>100</v>
      </c>
      <c r="B71" s="143">
        <v>4000</v>
      </c>
      <c r="C71" s="143">
        <v>7900</v>
      </c>
      <c r="D71" s="143">
        <v>510</v>
      </c>
      <c r="E71" s="141" t="s">
        <v>116</v>
      </c>
      <c r="F71" s="141" t="s">
        <v>196</v>
      </c>
      <c r="G71" s="145">
        <v>20.73</v>
      </c>
      <c r="H71" s="145">
        <v>95.9</v>
      </c>
      <c r="I71" s="145">
        <v>992.78</v>
      </c>
      <c r="J71" s="145">
        <v>229.23</v>
      </c>
      <c r="K71" s="145">
        <v>158.94999999999999</v>
      </c>
      <c r="L71" s="145">
        <v>479.61</v>
      </c>
      <c r="M71" s="145">
        <v>208.88</v>
      </c>
      <c r="N71" s="145">
        <v>0</v>
      </c>
      <c r="O71" s="145">
        <v>638.04</v>
      </c>
      <c r="P71" s="145">
        <v>0</v>
      </c>
      <c r="Q71" s="145">
        <v>1428.16</v>
      </c>
      <c r="R71" s="145">
        <v>1017.06</v>
      </c>
      <c r="S71" s="145">
        <v>5269.34</v>
      </c>
      <c r="T71" s="145"/>
      <c r="U71" s="145"/>
    </row>
    <row r="72" spans="1:21" ht="14.4" x14ac:dyDescent="0.3">
      <c r="A72" s="143">
        <v>100</v>
      </c>
      <c r="B72" s="143">
        <v>4000</v>
      </c>
      <c r="C72" s="143">
        <v>8100</v>
      </c>
      <c r="D72" s="143">
        <v>350</v>
      </c>
      <c r="E72" s="141" t="s">
        <v>117</v>
      </c>
      <c r="F72" s="141" t="s">
        <v>196</v>
      </c>
      <c r="G72" s="145">
        <v>0</v>
      </c>
      <c r="H72" s="145">
        <v>260.49</v>
      </c>
      <c r="I72" s="145">
        <v>699.9</v>
      </c>
      <c r="J72" s="145">
        <v>311</v>
      </c>
      <c r="K72" s="145">
        <v>71.62</v>
      </c>
      <c r="L72" s="145">
        <v>149.37</v>
      </c>
      <c r="M72" s="145">
        <v>0</v>
      </c>
      <c r="N72" s="145">
        <v>0</v>
      </c>
      <c r="O72" s="145">
        <v>325</v>
      </c>
      <c r="P72" s="145">
        <v>0</v>
      </c>
      <c r="Q72" s="145">
        <v>820.22</v>
      </c>
      <c r="R72" s="145">
        <v>165</v>
      </c>
      <c r="S72" s="145">
        <v>2802.5999999999995</v>
      </c>
      <c r="T72" s="145"/>
      <c r="U72" s="145"/>
    </row>
    <row r="73" spans="1:21" ht="14.4" x14ac:dyDescent="0.3">
      <c r="A73" s="143">
        <v>100</v>
      </c>
      <c r="B73" s="143">
        <v>4000</v>
      </c>
      <c r="C73" s="143">
        <v>9100</v>
      </c>
      <c r="D73" s="143">
        <v>705</v>
      </c>
      <c r="E73" s="141" t="s">
        <v>97</v>
      </c>
      <c r="F73" s="141" t="s">
        <v>196</v>
      </c>
      <c r="G73" s="145">
        <v>0</v>
      </c>
      <c r="H73" s="145">
        <v>382.92</v>
      </c>
      <c r="I73" s="145">
        <v>575</v>
      </c>
      <c r="J73" s="145">
        <v>-125</v>
      </c>
      <c r="K73" s="145">
        <v>847.12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45">
        <v>0</v>
      </c>
      <c r="R73" s="145">
        <v>0</v>
      </c>
      <c r="S73" s="145">
        <v>1680.04</v>
      </c>
      <c r="T73" s="145">
        <f>SUM(S38:S73)</f>
        <v>479642.58999999997</v>
      </c>
      <c r="U73" s="1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DCAA-FF26-4DE1-AD99-E71057867AD3}">
  <dimension ref="A1:J30"/>
  <sheetViews>
    <sheetView topLeftCell="A13" workbookViewId="0">
      <selection activeCell="J30" sqref="B30:J30"/>
    </sheetView>
  </sheetViews>
  <sheetFormatPr defaultRowHeight="14.4" x14ac:dyDescent="0.3"/>
  <cols>
    <col min="1" max="1" width="16.6640625" style="151" customWidth="1"/>
    <col min="2" max="3" width="9.5546875" style="153" bestFit="1" customWidth="1"/>
    <col min="4" max="9" width="10.5546875" style="153" bestFit="1" customWidth="1"/>
    <col min="10" max="16384" width="8.88671875" style="151"/>
  </cols>
  <sheetData>
    <row r="1" spans="1:10" x14ac:dyDescent="0.3">
      <c r="B1" s="152">
        <v>7.15</v>
      </c>
      <c r="C1" s="152">
        <v>6.29</v>
      </c>
      <c r="D1" s="152">
        <v>6.14</v>
      </c>
      <c r="E1" s="152">
        <v>5.31</v>
      </c>
      <c r="F1" s="152">
        <v>5.16</v>
      </c>
      <c r="G1" s="152">
        <v>4.3</v>
      </c>
      <c r="H1" s="152">
        <v>4.16</v>
      </c>
      <c r="I1" s="152">
        <v>3.3</v>
      </c>
    </row>
    <row r="2" spans="1:10" x14ac:dyDescent="0.3">
      <c r="A2" s="151" t="s">
        <v>158</v>
      </c>
      <c r="B2" s="153">
        <v>0</v>
      </c>
      <c r="C2" s="153">
        <v>0</v>
      </c>
      <c r="D2" s="153">
        <v>540</v>
      </c>
      <c r="E2" s="153">
        <v>540</v>
      </c>
      <c r="F2" s="153">
        <v>540</v>
      </c>
      <c r="G2" s="153">
        <v>540</v>
      </c>
      <c r="H2" s="153">
        <v>540</v>
      </c>
      <c r="I2" s="153">
        <v>540</v>
      </c>
      <c r="J2" s="153">
        <f>+I2</f>
        <v>540</v>
      </c>
    </row>
    <row r="3" spans="1:10" x14ac:dyDescent="0.3">
      <c r="A3" s="151" t="s">
        <v>180</v>
      </c>
      <c r="B3" s="153">
        <v>1345.38</v>
      </c>
      <c r="C3" s="153">
        <v>891.8</v>
      </c>
      <c r="D3" s="153">
        <v>5830</v>
      </c>
      <c r="E3" s="153">
        <v>1457.5</v>
      </c>
      <c r="F3" s="153">
        <v>1457.5</v>
      </c>
      <c r="G3" s="153">
        <v>1457.5</v>
      </c>
      <c r="H3" s="153">
        <v>1457.5</v>
      </c>
      <c r="I3" s="153">
        <v>1457.5</v>
      </c>
      <c r="J3" s="153">
        <f>+I3</f>
        <v>1457.5</v>
      </c>
    </row>
    <row r="4" spans="1:10" x14ac:dyDescent="0.3">
      <c r="A4" s="151" t="s">
        <v>159</v>
      </c>
      <c r="B4" s="153">
        <v>713.46</v>
      </c>
      <c r="C4" s="153">
        <v>2242.2399999999998</v>
      </c>
      <c r="D4" s="153">
        <v>8833.32</v>
      </c>
      <c r="E4" s="153">
        <v>2208.33</v>
      </c>
      <c r="F4" s="153">
        <v>2208.33</v>
      </c>
      <c r="G4" s="153">
        <v>2208.33</v>
      </c>
      <c r="H4" s="153">
        <v>2208.33</v>
      </c>
      <c r="I4" s="153">
        <v>2208.33</v>
      </c>
      <c r="J4" s="153">
        <f>+I4</f>
        <v>2208.33</v>
      </c>
    </row>
    <row r="5" spans="1:10" x14ac:dyDescent="0.3">
      <c r="A5" s="151" t="s">
        <v>181</v>
      </c>
      <c r="B5" s="153">
        <v>0</v>
      </c>
      <c r="C5" s="153">
        <v>0</v>
      </c>
      <c r="D5" s="153">
        <v>1457.28</v>
      </c>
      <c r="E5" s="153">
        <v>1457.28</v>
      </c>
      <c r="F5" s="153">
        <v>1457.28</v>
      </c>
      <c r="G5" s="153">
        <v>1457.28</v>
      </c>
      <c r="H5" s="153">
        <v>1457.28</v>
      </c>
      <c r="I5" s="153">
        <v>1457.28</v>
      </c>
      <c r="J5" s="153">
        <f>+I5</f>
        <v>1457.28</v>
      </c>
    </row>
    <row r="6" spans="1:10" x14ac:dyDescent="0.3">
      <c r="A6" s="151" t="s">
        <v>200</v>
      </c>
      <c r="B6" s="153">
        <f>SUM(B2:B5)</f>
        <v>2058.84</v>
      </c>
      <c r="C6" s="153">
        <f>SUM(C2:C5)</f>
        <v>3134.04</v>
      </c>
      <c r="D6" s="153">
        <f t="shared" ref="D6:F6" si="0">SUM(D2:D5)</f>
        <v>16660.599999999999</v>
      </c>
      <c r="E6" s="153">
        <f t="shared" si="0"/>
        <v>5663.11</v>
      </c>
      <c r="F6" s="153">
        <f t="shared" si="0"/>
        <v>5663.11</v>
      </c>
      <c r="G6" s="153">
        <f>SUM(G2:G5)</f>
        <v>5663.11</v>
      </c>
      <c r="H6" s="153">
        <f>SUM(H2:H5)</f>
        <v>5663.11</v>
      </c>
      <c r="I6" s="153">
        <f t="shared" ref="I6" si="1">SUM(I2:I5)</f>
        <v>5663.11</v>
      </c>
      <c r="J6" s="153">
        <f>SUM(J2:J5)</f>
        <v>5663.11</v>
      </c>
    </row>
    <row r="8" spans="1:10" x14ac:dyDescent="0.3">
      <c r="A8" s="151" t="s">
        <v>186</v>
      </c>
      <c r="B8" s="153">
        <v>0</v>
      </c>
      <c r="C8" s="153">
        <v>0</v>
      </c>
      <c r="D8" s="153">
        <v>185.63</v>
      </c>
      <c r="E8" s="153">
        <v>412.5</v>
      </c>
      <c r="F8" s="153">
        <v>618.75</v>
      </c>
      <c r="G8" s="153">
        <v>206.25</v>
      </c>
      <c r="H8" s="153">
        <v>165</v>
      </c>
      <c r="I8" s="153">
        <v>97.2</v>
      </c>
      <c r="J8" s="153">
        <f>+AVERAGE(D8:I8)</f>
        <v>280.88833333333338</v>
      </c>
    </row>
    <row r="9" spans="1:10" x14ac:dyDescent="0.3">
      <c r="A9" s="151" t="s">
        <v>160</v>
      </c>
      <c r="B9" s="153">
        <v>0</v>
      </c>
      <c r="C9" s="153">
        <v>0</v>
      </c>
      <c r="D9" s="153">
        <v>209.25</v>
      </c>
      <c r="E9" s="153">
        <v>209.25</v>
      </c>
      <c r="F9" s="153">
        <v>313.88</v>
      </c>
      <c r="G9" s="153">
        <v>209.25</v>
      </c>
      <c r="H9" s="153">
        <v>272.02999999999997</v>
      </c>
      <c r="I9" s="153">
        <v>209.25</v>
      </c>
      <c r="J9" s="153">
        <f>+AVERAGE(D9:I9)</f>
        <v>237.15166666666664</v>
      </c>
    </row>
    <row r="10" spans="1:10" x14ac:dyDescent="0.3">
      <c r="A10" s="151" t="s">
        <v>201</v>
      </c>
      <c r="B10" s="153">
        <f>SUM(B8:B9)</f>
        <v>0</v>
      </c>
      <c r="C10" s="153">
        <f t="shared" ref="C10:I10" si="2">SUM(C8:C9)</f>
        <v>0</v>
      </c>
      <c r="D10" s="153">
        <f t="shared" si="2"/>
        <v>394.88</v>
      </c>
      <c r="E10" s="153">
        <f t="shared" si="2"/>
        <v>621.75</v>
      </c>
      <c r="F10" s="153">
        <f t="shared" si="2"/>
        <v>932.63</v>
      </c>
      <c r="G10" s="153">
        <f t="shared" si="2"/>
        <v>415.5</v>
      </c>
      <c r="H10" s="153">
        <f t="shared" si="2"/>
        <v>437.03</v>
      </c>
      <c r="I10" s="153">
        <f t="shared" si="2"/>
        <v>306.45</v>
      </c>
      <c r="J10" s="153">
        <f>SUM(J8:J9)</f>
        <v>518.04</v>
      </c>
    </row>
    <row r="12" spans="1:10" x14ac:dyDescent="0.3">
      <c r="A12" s="151" t="s">
        <v>161</v>
      </c>
      <c r="B12" s="153">
        <v>1200</v>
      </c>
      <c r="C12" s="153">
        <v>1068.75</v>
      </c>
      <c r="D12" s="153">
        <v>1053.75</v>
      </c>
      <c r="E12" s="153">
        <v>1167.45</v>
      </c>
      <c r="F12" s="153">
        <v>1755</v>
      </c>
      <c r="G12" s="153">
        <v>1191.75</v>
      </c>
      <c r="H12" s="153">
        <v>1546.2</v>
      </c>
      <c r="I12" s="153">
        <v>1134.75</v>
      </c>
      <c r="J12" s="153">
        <f>+AVERAGE(D12:I12)</f>
        <v>1308.1499999999999</v>
      </c>
    </row>
    <row r="13" spans="1:10" x14ac:dyDescent="0.3">
      <c r="A13" s="151" t="s">
        <v>162</v>
      </c>
      <c r="B13" s="153">
        <v>622.5</v>
      </c>
      <c r="C13" s="153">
        <v>525</v>
      </c>
      <c r="D13" s="153">
        <v>1411.2</v>
      </c>
      <c r="E13" s="153">
        <v>1157.55</v>
      </c>
      <c r="F13" s="153">
        <v>1788.75</v>
      </c>
      <c r="G13" s="153">
        <v>1200</v>
      </c>
      <c r="H13" s="153">
        <v>1597.5</v>
      </c>
      <c r="I13" s="153">
        <v>1174.95</v>
      </c>
      <c r="J13" s="153">
        <f t="shared" ref="J13:J17" si="3">+AVERAGE(D13:I13)</f>
        <v>1388.325</v>
      </c>
    </row>
    <row r="14" spans="1:10" x14ac:dyDescent="0.3">
      <c r="A14" s="151" t="s">
        <v>163</v>
      </c>
      <c r="B14" s="153">
        <v>1200</v>
      </c>
      <c r="C14" s="153">
        <v>956.25</v>
      </c>
      <c r="D14" s="153">
        <v>1375.05</v>
      </c>
      <c r="E14" s="153">
        <v>1076.7</v>
      </c>
      <c r="F14" s="153">
        <v>1767.45</v>
      </c>
      <c r="G14" s="153">
        <v>1200</v>
      </c>
      <c r="H14" s="153">
        <v>1552.5</v>
      </c>
      <c r="I14" s="153">
        <v>1200</v>
      </c>
      <c r="J14" s="153">
        <f t="shared" si="3"/>
        <v>1361.95</v>
      </c>
    </row>
    <row r="15" spans="1:10" x14ac:dyDescent="0.3">
      <c r="A15" s="151" t="s">
        <v>164</v>
      </c>
      <c r="B15" s="153">
        <v>111.96</v>
      </c>
      <c r="C15" s="153">
        <v>114</v>
      </c>
      <c r="D15" s="153">
        <v>916.56</v>
      </c>
      <c r="E15" s="153">
        <v>876.24</v>
      </c>
      <c r="F15" s="153">
        <v>1080</v>
      </c>
      <c r="G15" s="153">
        <v>831.84</v>
      </c>
      <c r="H15" s="153">
        <v>1061.6400000000001</v>
      </c>
      <c r="I15" s="153">
        <v>820.8</v>
      </c>
      <c r="J15" s="153">
        <f t="shared" si="3"/>
        <v>931.18000000000018</v>
      </c>
    </row>
    <row r="16" spans="1:10" x14ac:dyDescent="0.3">
      <c r="A16" s="151" t="s">
        <v>165</v>
      </c>
      <c r="B16" s="153">
        <v>300.5</v>
      </c>
      <c r="C16" s="153">
        <v>550.70000000000005</v>
      </c>
      <c r="D16" s="153">
        <v>369.04</v>
      </c>
      <c r="E16" s="153">
        <v>682.08</v>
      </c>
      <c r="F16" s="153">
        <v>979.22</v>
      </c>
      <c r="G16" s="153">
        <v>642.1</v>
      </c>
      <c r="H16" s="153">
        <v>772.46</v>
      </c>
      <c r="I16" s="153">
        <v>408.58</v>
      </c>
      <c r="J16" s="153">
        <f t="shared" si="3"/>
        <v>642.24666666666667</v>
      </c>
    </row>
    <row r="17" spans="1:10" x14ac:dyDescent="0.3">
      <c r="A17" s="151" t="s">
        <v>166</v>
      </c>
      <c r="B17" s="153">
        <v>229.8</v>
      </c>
      <c r="C17" s="153">
        <v>643.5</v>
      </c>
      <c r="D17" s="153">
        <v>1236.3</v>
      </c>
      <c r="E17" s="153">
        <v>1175.7</v>
      </c>
      <c r="F17" s="153">
        <v>1734.75</v>
      </c>
      <c r="G17" s="153">
        <v>1149</v>
      </c>
      <c r="H17" s="153">
        <v>1161.45</v>
      </c>
      <c r="I17" s="153">
        <v>1191.45</v>
      </c>
      <c r="J17" s="153">
        <f t="shared" si="3"/>
        <v>1274.7749999999999</v>
      </c>
    </row>
    <row r="18" spans="1:10" x14ac:dyDescent="0.3">
      <c r="A18" s="151" t="s">
        <v>202</v>
      </c>
      <c r="B18" s="153">
        <f>SUM(B12:B17)</f>
        <v>3664.76</v>
      </c>
      <c r="C18" s="153">
        <f t="shared" ref="C18:I18" si="4">SUM(C12:C17)</f>
        <v>3858.2</v>
      </c>
      <c r="D18" s="153">
        <f t="shared" si="4"/>
        <v>6361.9</v>
      </c>
      <c r="E18" s="153">
        <f t="shared" si="4"/>
        <v>6135.7199999999993</v>
      </c>
      <c r="F18" s="153">
        <f t="shared" si="4"/>
        <v>9105.17</v>
      </c>
      <c r="G18" s="153">
        <f t="shared" si="4"/>
        <v>6214.6900000000005</v>
      </c>
      <c r="H18" s="153">
        <f t="shared" si="4"/>
        <v>7691.75</v>
      </c>
      <c r="I18" s="153">
        <f t="shared" si="4"/>
        <v>5930.53</v>
      </c>
      <c r="J18" s="153">
        <f>SUM(J12:J17)</f>
        <v>6906.626666666667</v>
      </c>
    </row>
    <row r="20" spans="1:10" x14ac:dyDescent="0.3">
      <c r="A20" s="151" t="s">
        <v>167</v>
      </c>
      <c r="B20" s="153">
        <v>0</v>
      </c>
      <c r="C20" s="153">
        <v>0</v>
      </c>
      <c r="D20" s="153">
        <v>150</v>
      </c>
      <c r="E20" s="153">
        <v>150</v>
      </c>
      <c r="F20" s="153">
        <v>150</v>
      </c>
      <c r="G20" s="153">
        <v>150</v>
      </c>
      <c r="H20" s="153">
        <v>150</v>
      </c>
      <c r="I20" s="153">
        <v>150</v>
      </c>
      <c r="J20" s="153">
        <f t="shared" ref="J20:J22" si="5">+AVERAGE(D20:I20)</f>
        <v>150</v>
      </c>
    </row>
    <row r="21" spans="1:10" x14ac:dyDescent="0.3">
      <c r="A21" s="151" t="s">
        <v>168</v>
      </c>
      <c r="B21" s="153">
        <v>326.83</v>
      </c>
      <c r="C21" s="153">
        <v>521.29999999999995</v>
      </c>
      <c r="D21" s="153">
        <v>663.21</v>
      </c>
      <c r="E21" s="153">
        <v>701.5</v>
      </c>
      <c r="F21" s="153">
        <v>1001.65</v>
      </c>
      <c r="G21" s="153">
        <v>496.46</v>
      </c>
      <c r="H21" s="153">
        <v>735.8</v>
      </c>
      <c r="I21" s="153">
        <v>529.20000000000005</v>
      </c>
      <c r="J21" s="153">
        <f t="shared" si="5"/>
        <v>687.96999999999991</v>
      </c>
    </row>
    <row r="22" spans="1:10" x14ac:dyDescent="0.3">
      <c r="A22" s="151" t="s">
        <v>169</v>
      </c>
      <c r="B22" s="153">
        <v>153.6</v>
      </c>
      <c r="C22" s="153">
        <v>156.80000000000001</v>
      </c>
      <c r="D22" s="153">
        <v>1024</v>
      </c>
      <c r="E22" s="153">
        <v>1024</v>
      </c>
      <c r="F22" s="153">
        <v>1536</v>
      </c>
      <c r="G22" s="153">
        <v>1024</v>
      </c>
      <c r="H22" s="153">
        <v>1040</v>
      </c>
      <c r="I22" s="153">
        <v>800</v>
      </c>
      <c r="J22" s="153">
        <f t="shared" si="5"/>
        <v>1074.6666666666667</v>
      </c>
    </row>
    <row r="23" spans="1:10" x14ac:dyDescent="0.3">
      <c r="A23" s="151" t="s">
        <v>203</v>
      </c>
      <c r="B23" s="153">
        <f>SUM(B20:B22)</f>
        <v>480.42999999999995</v>
      </c>
      <c r="C23" s="153">
        <f t="shared" ref="C23:I23" si="6">SUM(C20:C22)</f>
        <v>678.09999999999991</v>
      </c>
      <c r="D23" s="153">
        <f t="shared" si="6"/>
        <v>1837.21</v>
      </c>
      <c r="E23" s="153">
        <f t="shared" si="6"/>
        <v>1875.5</v>
      </c>
      <c r="F23" s="153">
        <f t="shared" si="6"/>
        <v>2687.65</v>
      </c>
      <c r="G23" s="153">
        <f t="shared" si="6"/>
        <v>1670.46</v>
      </c>
      <c r="H23" s="153">
        <f t="shared" si="6"/>
        <v>1925.8</v>
      </c>
      <c r="I23" s="153">
        <f t="shared" si="6"/>
        <v>1479.2</v>
      </c>
      <c r="J23" s="153">
        <f>SUM(J20:J22)</f>
        <v>1912.6366666666668</v>
      </c>
    </row>
    <row r="25" spans="1:10" x14ac:dyDescent="0.3">
      <c r="A25" s="151" t="s">
        <v>170</v>
      </c>
      <c r="B25" s="153">
        <v>41.25</v>
      </c>
      <c r="C25" s="153">
        <v>41.25</v>
      </c>
      <c r="D25" s="153">
        <v>206.25</v>
      </c>
      <c r="E25" s="153">
        <v>206.25</v>
      </c>
      <c r="F25" s="153">
        <v>309.38</v>
      </c>
      <c r="G25" s="153">
        <v>206.25</v>
      </c>
      <c r="H25" s="153">
        <v>268.13</v>
      </c>
      <c r="I25" s="153">
        <v>202.5</v>
      </c>
      <c r="J25" s="153">
        <f t="shared" ref="J25:J27" si="7">+AVERAGE(D25:I25)</f>
        <v>233.12666666666667</v>
      </c>
    </row>
    <row r="26" spans="1:10" x14ac:dyDescent="0.3">
      <c r="A26" s="151" t="s">
        <v>171</v>
      </c>
      <c r="B26" s="153">
        <v>323</v>
      </c>
      <c r="C26" s="153">
        <v>484.5</v>
      </c>
      <c r="D26" s="153">
        <v>298.77999999999997</v>
      </c>
      <c r="E26" s="153">
        <v>290.7</v>
      </c>
      <c r="F26" s="153">
        <v>484.5</v>
      </c>
      <c r="G26" s="153">
        <v>323</v>
      </c>
      <c r="H26" s="153">
        <v>452.2</v>
      </c>
      <c r="I26" s="153">
        <v>323</v>
      </c>
      <c r="J26" s="153">
        <f>+AVERAGE(B26:I26)</f>
        <v>372.46</v>
      </c>
    </row>
    <row r="27" spans="1:10" x14ac:dyDescent="0.3">
      <c r="A27" s="151" t="s">
        <v>172</v>
      </c>
      <c r="B27" s="153">
        <v>66</v>
      </c>
      <c r="C27" s="153">
        <v>0</v>
      </c>
      <c r="D27" s="153">
        <v>165</v>
      </c>
      <c r="E27" s="153">
        <v>198</v>
      </c>
      <c r="F27" s="153">
        <v>264</v>
      </c>
      <c r="G27" s="153">
        <v>132</v>
      </c>
      <c r="H27" s="153">
        <v>264</v>
      </c>
      <c r="I27" s="153">
        <v>194.4</v>
      </c>
      <c r="J27" s="153">
        <f t="shared" si="7"/>
        <v>202.9</v>
      </c>
    </row>
    <row r="28" spans="1:10" x14ac:dyDescent="0.3">
      <c r="A28" s="151" t="s">
        <v>204</v>
      </c>
      <c r="B28" s="153">
        <f>SUM(B25:B27)</f>
        <v>430.25</v>
      </c>
      <c r="C28" s="153">
        <f t="shared" ref="C28:I28" si="8">SUM(C25:C27)</f>
        <v>525.75</v>
      </c>
      <c r="D28" s="153">
        <f t="shared" si="8"/>
        <v>670.03</v>
      </c>
      <c r="E28" s="153">
        <f t="shared" si="8"/>
        <v>694.95</v>
      </c>
      <c r="F28" s="153">
        <f t="shared" si="8"/>
        <v>1057.8800000000001</v>
      </c>
      <c r="G28" s="153">
        <f t="shared" si="8"/>
        <v>661.25</v>
      </c>
      <c r="H28" s="153">
        <f t="shared" si="8"/>
        <v>984.32999999999993</v>
      </c>
      <c r="I28" s="153">
        <f t="shared" si="8"/>
        <v>719.9</v>
      </c>
      <c r="J28" s="153">
        <f>SUM(J25:J27)</f>
        <v>808.48666666666657</v>
      </c>
    </row>
    <row r="30" spans="1:10" x14ac:dyDescent="0.3">
      <c r="A30" s="151" t="s">
        <v>205</v>
      </c>
      <c r="B30" s="153">
        <v>6634.28</v>
      </c>
      <c r="C30" s="153">
        <v>8196.09</v>
      </c>
      <c r="D30" s="153">
        <v>25924.62</v>
      </c>
      <c r="E30" s="153">
        <v>14991.03</v>
      </c>
      <c r="F30" s="153">
        <v>19446.439999999999</v>
      </c>
      <c r="G30" s="153">
        <v>14625.01</v>
      </c>
      <c r="H30" s="153">
        <v>16702.02</v>
      </c>
      <c r="I30" s="153">
        <v>14099.19</v>
      </c>
      <c r="J30" s="153">
        <f>+J6+J10+J18+J23+J28</f>
        <v>15808.9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Budget</vt:lpstr>
      <vt:lpstr>Rev Input</vt:lpstr>
      <vt:lpstr>Expense Input</vt:lpstr>
      <vt:lpstr>Payroll</vt:lpstr>
      <vt:lpstr>FY18</vt:lpstr>
      <vt:lpstr>PR18</vt:lpstr>
      <vt:lpstr>EnrNew</vt:lpstr>
      <vt:lpstr>EnrOld</vt:lpstr>
      <vt:lpstr>Inf</vt:lpstr>
      <vt:lpstr>PRInf</vt:lpstr>
      <vt:lpstr>'Expense Input'!Print_Titles</vt:lpstr>
      <vt:lpstr>Payroll!Print_Titles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Scott</dc:creator>
  <cp:lastModifiedBy>Desirae Kennemur</cp:lastModifiedBy>
  <cp:lastPrinted>2018-07-19T16:39:50Z</cp:lastPrinted>
  <dcterms:created xsi:type="dcterms:W3CDTF">2005-10-24T23:59:04Z</dcterms:created>
  <dcterms:modified xsi:type="dcterms:W3CDTF">2018-07-19T19:36:14Z</dcterms:modified>
</cp:coreProperties>
</file>